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DieseArbeitsmappe"/>
  <mc:AlternateContent xmlns:mc="http://schemas.openxmlformats.org/markup-compatibility/2006">
    <mc:Choice Requires="x15">
      <x15ac:absPath xmlns:x15ac="http://schemas.microsoft.com/office/spreadsheetml/2010/11/ac" url="E:\HomeOffice\Promotion01022024\Produkte\Paper CFPS mit Additiven\Supporting Information\"/>
    </mc:Choice>
  </mc:AlternateContent>
  <xr:revisionPtr revIDLastSave="0" documentId="13_ncr:1_{1149994C-640E-4F0C-98AB-5C17F725AAC4}" xr6:coauthVersionLast="47" xr6:coauthVersionMax="47" xr10:uidLastSave="{00000000-0000-0000-0000-000000000000}"/>
  <bookViews>
    <workbookView xWindow="0" yWindow="0" windowWidth="19200" windowHeight="10200" xr2:uid="{00000000-000D-0000-FFFF-FFFF00000000}"/>
  </bookViews>
  <sheets>
    <sheet name="Amino acid sequence" sheetId="7" r:id="rId1"/>
    <sheet name="Protein concentration" sheetId="5" r:id="rId2"/>
    <sheet name="Calculations" sheetId="6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6" l="1"/>
  <c r="C12" i="6"/>
  <c r="C18" i="6"/>
  <c r="C19" i="6"/>
  <c r="C20" i="6"/>
  <c r="C22" i="6"/>
  <c r="C5" i="6"/>
  <c r="C6" i="6"/>
  <c r="C14" i="6"/>
  <c r="C21" i="6"/>
  <c r="C4" i="6"/>
  <c r="C11" i="6"/>
  <c r="E8" i="7"/>
  <c r="C7" i="6"/>
  <c r="C8" i="6"/>
  <c r="C9" i="6"/>
  <c r="C13" i="6"/>
  <c r="C15" i="6"/>
  <c r="C16" i="6"/>
  <c r="C17" i="6"/>
  <c r="C23" i="6"/>
  <c r="E4" i="6" l="1"/>
  <c r="J7" i="5" s="1"/>
  <c r="E9" i="7"/>
  <c r="E10" i="7"/>
  <c r="E6" i="6" s="1"/>
  <c r="J9" i="5" s="1"/>
  <c r="E11" i="7"/>
  <c r="E12" i="7"/>
  <c r="E13" i="7"/>
  <c r="E14" i="7"/>
  <c r="E15" i="7"/>
  <c r="E11" i="6" s="1"/>
  <c r="J14" i="5" s="1"/>
  <c r="E16" i="7"/>
  <c r="E12" i="6" s="1"/>
  <c r="J15" i="5" s="1"/>
  <c r="E17" i="7"/>
  <c r="E13" i="6" s="1"/>
  <c r="J16" i="5" s="1"/>
  <c r="E18" i="7"/>
  <c r="E14" i="6" s="1"/>
  <c r="J17" i="5" s="1"/>
  <c r="E19" i="7"/>
  <c r="E20" i="7"/>
  <c r="E21" i="7"/>
  <c r="E22" i="7"/>
  <c r="E23" i="7"/>
  <c r="E24" i="7"/>
  <c r="E25" i="7"/>
  <c r="E26" i="7"/>
  <c r="E27" i="7"/>
  <c r="E5" i="6" l="1"/>
  <c r="G8" i="7"/>
  <c r="E15" i="5" s="1"/>
  <c r="O4" i="6"/>
  <c r="F8" i="7"/>
  <c r="F27" i="7"/>
  <c r="F26" i="7"/>
  <c r="F25" i="7"/>
  <c r="F24" i="7"/>
  <c r="F16" i="7"/>
  <c r="F19" i="7"/>
  <c r="F23" i="7"/>
  <c r="F15" i="7"/>
  <c r="F22" i="7"/>
  <c r="F14" i="7"/>
  <c r="F21" i="7"/>
  <c r="F13" i="7"/>
  <c r="F20" i="7"/>
  <c r="F12" i="7"/>
  <c r="F11" i="7"/>
  <c r="F18" i="7"/>
  <c r="F10" i="7"/>
  <c r="F17" i="7"/>
  <c r="F9" i="7"/>
  <c r="K15" i="5" l="1"/>
  <c r="J8" i="5"/>
  <c r="K8" i="5" s="1"/>
  <c r="K9" i="5"/>
  <c r="K17" i="5"/>
  <c r="K7" i="5"/>
  <c r="K16" i="5"/>
  <c r="K14" i="5"/>
  <c r="P4" i="6"/>
  <c r="N7" i="5" s="1"/>
  <c r="E22" i="6"/>
  <c r="E23" i="6"/>
  <c r="O6" i="6"/>
  <c r="E7" i="6"/>
  <c r="E8" i="6"/>
  <c r="E16" i="6"/>
  <c r="O13" i="6"/>
  <c r="O14" i="6"/>
  <c r="E15" i="6"/>
  <c r="E9" i="6"/>
  <c r="E17" i="6"/>
  <c r="E10" i="6"/>
  <c r="E18" i="6"/>
  <c r="E21" i="6"/>
  <c r="O11" i="6"/>
  <c r="E19" i="6"/>
  <c r="O12" i="6"/>
  <c r="E20" i="6"/>
  <c r="C24" i="6"/>
  <c r="J19" i="5" l="1"/>
  <c r="K19" i="5" s="1"/>
  <c r="J11" i="5"/>
  <c r="K11" i="5" s="1"/>
  <c r="J13" i="5"/>
  <c r="K13" i="5" s="1"/>
  <c r="J10" i="5"/>
  <c r="K10" i="5" s="1"/>
  <c r="J24" i="5"/>
  <c r="K24" i="5" s="1"/>
  <c r="J20" i="5"/>
  <c r="K20" i="5" s="1"/>
  <c r="J26" i="5"/>
  <c r="K26" i="5" s="1"/>
  <c r="J18" i="5"/>
  <c r="K18" i="5" s="1"/>
  <c r="J25" i="5"/>
  <c r="K25" i="5" s="1"/>
  <c r="J21" i="5"/>
  <c r="K21" i="5" s="1"/>
  <c r="J12" i="5"/>
  <c r="K12" i="5" s="1"/>
  <c r="J23" i="5"/>
  <c r="K23" i="5" s="1"/>
  <c r="J22" i="5"/>
  <c r="K22" i="5" s="1"/>
  <c r="O5" i="6"/>
  <c r="P5" i="6" s="1"/>
  <c r="N8" i="5" s="1"/>
  <c r="P14" i="6"/>
  <c r="N17" i="5" s="1"/>
  <c r="P6" i="6"/>
  <c r="N9" i="5" s="1"/>
  <c r="P12" i="6"/>
  <c r="N15" i="5" s="1"/>
  <c r="P11" i="6"/>
  <c r="N14" i="5" s="1"/>
  <c r="P13" i="6"/>
  <c r="N16" i="5" s="1"/>
  <c r="E24" i="6"/>
  <c r="O21" i="6" l="1"/>
  <c r="P21" i="6" s="1"/>
  <c r="N24" i="5" s="1"/>
  <c r="O16" i="6"/>
  <c r="P16" i="6" s="1"/>
  <c r="N19" i="5" s="1"/>
  <c r="O20" i="6"/>
  <c r="P20" i="6" s="1"/>
  <c r="N23" i="5" s="1"/>
  <c r="O15" i="6"/>
  <c r="P15" i="6" s="1"/>
  <c r="N18" i="5" s="1"/>
  <c r="O7" i="6"/>
  <c r="P7" i="6" s="1"/>
  <c r="N10" i="5" s="1"/>
  <c r="O9" i="6"/>
  <c r="P9" i="6" s="1"/>
  <c r="N12" i="5" s="1"/>
  <c r="O23" i="6"/>
  <c r="P23" i="6" s="1"/>
  <c r="N26" i="5" s="1"/>
  <c r="O10" i="6"/>
  <c r="P10" i="6" s="1"/>
  <c r="N13" i="5" s="1"/>
  <c r="O18" i="6"/>
  <c r="P18" i="6" s="1"/>
  <c r="N21" i="5" s="1"/>
  <c r="O17" i="6"/>
  <c r="P17" i="6" s="1"/>
  <c r="N20" i="5" s="1"/>
  <c r="O8" i="6"/>
  <c r="P8" i="6" s="1"/>
  <c r="N11" i="5" s="1"/>
  <c r="O19" i="6"/>
  <c r="P19" i="6" s="1"/>
  <c r="N22" i="5" s="1"/>
  <c r="O22" i="6"/>
  <c r="P22" i="6" s="1"/>
  <c r="N25" i="5" s="1"/>
  <c r="K27" i="5"/>
  <c r="J27" i="5"/>
  <c r="P6" i="5" s="1"/>
  <c r="I5" i="6" l="1"/>
  <c r="I9" i="6"/>
  <c r="I4" i="6"/>
  <c r="K4" i="6" s="1"/>
  <c r="I8" i="6"/>
  <c r="K8" i="6" s="1"/>
  <c r="I14" i="6"/>
  <c r="I11" i="6"/>
  <c r="I22" i="6"/>
  <c r="I20" i="6"/>
  <c r="I12" i="6"/>
  <c r="I10" i="6"/>
  <c r="I23" i="6"/>
  <c r="I21" i="6"/>
  <c r="I19" i="6"/>
  <c r="I17" i="6"/>
  <c r="I15" i="6"/>
  <c r="I13" i="6"/>
  <c r="I7" i="6"/>
  <c r="K7" i="6" s="1"/>
  <c r="I18" i="6"/>
  <c r="I16" i="6"/>
  <c r="I6" i="6"/>
  <c r="K16" i="6" l="1"/>
  <c r="K17" i="6"/>
  <c r="K11" i="6"/>
  <c r="K10" i="6"/>
  <c r="K6" i="6"/>
  <c r="K5" i="6"/>
  <c r="K13" i="6"/>
  <c r="K21" i="6"/>
  <c r="K12" i="6"/>
  <c r="K9" i="6"/>
  <c r="K18" i="6"/>
  <c r="K19" i="6"/>
  <c r="K14" i="6"/>
  <c r="K15" i="6"/>
  <c r="K23" i="6"/>
  <c r="K20" i="6"/>
  <c r="K22" i="6"/>
</calcChain>
</file>

<file path=xl/sharedStrings.xml><?xml version="1.0" encoding="utf-8"?>
<sst xmlns="http://schemas.openxmlformats.org/spreadsheetml/2006/main" count="229" uniqueCount="95">
  <si>
    <t>A</t>
  </si>
  <si>
    <t>R</t>
  </si>
  <si>
    <t>N</t>
  </si>
  <si>
    <t>D</t>
  </si>
  <si>
    <t>C</t>
  </si>
  <si>
    <t>Q</t>
  </si>
  <si>
    <t>E</t>
  </si>
  <si>
    <t>G</t>
  </si>
  <si>
    <t>H</t>
  </si>
  <si>
    <t>I</t>
  </si>
  <si>
    <t>L</t>
  </si>
  <si>
    <t>K</t>
  </si>
  <si>
    <t>M</t>
  </si>
  <si>
    <t>F</t>
  </si>
  <si>
    <t>P</t>
  </si>
  <si>
    <t>S</t>
  </si>
  <si>
    <t>T</t>
  </si>
  <si>
    <t>W</t>
  </si>
  <si>
    <t>Y</t>
  </si>
  <si>
    <t>V</t>
  </si>
  <si>
    <t>AS</t>
  </si>
  <si>
    <t>maximum amount protein</t>
  </si>
  <si>
    <t>limiting factor</t>
  </si>
  <si>
    <t xml:space="preserve">amino acid sequence protein </t>
  </si>
  <si>
    <t>amino acids in CFPS mix</t>
  </si>
  <si>
    <t>used amino acids</t>
  </si>
  <si>
    <t>remaining amino acids</t>
  </si>
  <si>
    <t>calculation of the actual usage of amino acids in consideration of the limiting factor</t>
  </si>
  <si>
    <t>calculation of the theoretical maximum amount of protein for each amino acid</t>
  </si>
  <si>
    <r>
      <t>mol L</t>
    </r>
    <r>
      <rPr>
        <vertAlign val="superscript"/>
        <sz val="11"/>
        <color theme="1"/>
        <rFont val="Calibri"/>
        <family val="2"/>
        <scheme val="minor"/>
      </rPr>
      <t>-1</t>
    </r>
  </si>
  <si>
    <t>Amino Acid</t>
  </si>
  <si>
    <t>3-letter Code</t>
  </si>
  <si>
    <t>1-letter Code</t>
  </si>
  <si>
    <t>Alanine</t>
  </si>
  <si>
    <t>Ala</t>
  </si>
  <si>
    <t>Arginine</t>
  </si>
  <si>
    <t>Arg</t>
  </si>
  <si>
    <t>Asparagine</t>
  </si>
  <si>
    <t>Asn</t>
  </si>
  <si>
    <t>Aspartate</t>
  </si>
  <si>
    <t>Asp</t>
  </si>
  <si>
    <t>Cysteine</t>
  </si>
  <si>
    <t>Cys</t>
  </si>
  <si>
    <t>Glutamate</t>
  </si>
  <si>
    <t>Glu</t>
  </si>
  <si>
    <t>Glutamine</t>
  </si>
  <si>
    <t>Gln</t>
  </si>
  <si>
    <t>Glycine</t>
  </si>
  <si>
    <t>Gly</t>
  </si>
  <si>
    <t>Histidine</t>
  </si>
  <si>
    <t>His</t>
  </si>
  <si>
    <t>Isoleucine</t>
  </si>
  <si>
    <t>Ile</t>
  </si>
  <si>
    <t>Leucine</t>
  </si>
  <si>
    <t>Leu</t>
  </si>
  <si>
    <t>Lysine</t>
  </si>
  <si>
    <t>Lys</t>
  </si>
  <si>
    <t>Methionine</t>
  </si>
  <si>
    <t>Met</t>
  </si>
  <si>
    <t>Phenylalanine</t>
  </si>
  <si>
    <t>Phe</t>
  </si>
  <si>
    <t>Proline</t>
  </si>
  <si>
    <t>Pro</t>
  </si>
  <si>
    <t>Serine</t>
  </si>
  <si>
    <t>Ser</t>
  </si>
  <si>
    <t>Threonine</t>
  </si>
  <si>
    <t>Thr</t>
  </si>
  <si>
    <t>Tryptophan</t>
  </si>
  <si>
    <t>Trp</t>
  </si>
  <si>
    <t>Tyrosine</t>
  </si>
  <si>
    <t>Tyr</t>
  </si>
  <si>
    <t>Valine</t>
  </si>
  <si>
    <t>Val</t>
  </si>
  <si>
    <t>Number of amino acids per protein</t>
  </si>
  <si>
    <t>Percentage</t>
  </si>
  <si>
    <t>Concentration</t>
  </si>
  <si>
    <t>mmol/mol</t>
  </si>
  <si>
    <r>
      <t>Yield (Y</t>
    </r>
    <r>
      <rPr>
        <b/>
        <vertAlign val="subscript"/>
        <sz val="11"/>
        <color theme="1"/>
        <rFont val="Calibri"/>
        <family val="2"/>
        <scheme val="minor"/>
      </rPr>
      <t>P/Ai</t>
    </r>
    <r>
      <rPr>
        <b/>
        <sz val="11"/>
        <color theme="1"/>
        <rFont val="Calibri"/>
        <family val="2"/>
        <scheme val="minor"/>
      </rPr>
      <t>)</t>
    </r>
  </si>
  <si>
    <t>µM</t>
  </si>
  <si>
    <r>
      <t>Moleculare weight of protein [g mol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]</t>
    </r>
  </si>
  <si>
    <t>Max. conc.</t>
  </si>
  <si>
    <r>
      <rPr>
        <b/>
        <sz val="11"/>
        <color theme="1"/>
        <rFont val="Calibri"/>
        <family val="2"/>
        <scheme val="minor"/>
      </rPr>
      <t>output</t>
    </r>
    <r>
      <rPr>
        <sz val="11"/>
        <color theme="1"/>
        <rFont val="Calibri"/>
        <family val="2"/>
        <scheme val="minor"/>
      </rPr>
      <t xml:space="preserve">: </t>
    </r>
  </si>
  <si>
    <t>theoretical maximum 
protein concentration</t>
  </si>
  <si>
    <t>yield on respective amino acid</t>
  </si>
  <si>
    <r>
      <t>mg mL</t>
    </r>
    <r>
      <rPr>
        <vertAlign val="superscript"/>
        <sz val="11"/>
        <color theme="1"/>
        <rFont val="Calibri"/>
        <family val="2"/>
        <scheme val="minor"/>
      </rPr>
      <t>-1</t>
    </r>
  </si>
  <si>
    <r>
      <rPr>
        <b/>
        <sz val="11"/>
        <color theme="1"/>
        <rFont val="Calibri"/>
        <family val="2"/>
        <scheme val="minor"/>
      </rPr>
      <t>input</t>
    </r>
    <r>
      <rPr>
        <sz val="11"/>
        <color theme="1"/>
        <rFont val="Calibri"/>
        <family val="2"/>
        <scheme val="minor"/>
      </rPr>
      <t xml:space="preserve">: 
</t>
    </r>
  </si>
  <si>
    <r>
      <t>The protein concentration has to be entered in µM. Use cells underneath to convert from mg mL</t>
    </r>
    <r>
      <rPr>
        <vertAlign val="superscript"/>
        <sz val="11"/>
        <color rgb="FFFF0000"/>
        <rFont val="Calibri"/>
        <family val="2"/>
        <scheme val="minor"/>
      </rPr>
      <t>-1</t>
    </r>
    <r>
      <rPr>
        <sz val="11"/>
        <color rgb="FFFF0000"/>
        <rFont val="Calibri"/>
        <family val="2"/>
        <scheme val="minor"/>
      </rPr>
      <t>.</t>
    </r>
  </si>
  <si>
    <t>fractional yield</t>
  </si>
  <si>
    <t>Input required</t>
  </si>
  <si>
    <t>Output</t>
  </si>
  <si>
    <r>
      <t xml:space="preserve">The amino acid sequence of the protein has to be inserted into cell </t>
    </r>
    <r>
      <rPr>
        <b/>
        <i/>
        <sz val="11"/>
        <color rgb="FFFF0000"/>
        <rFont val="Calibri"/>
        <family val="2"/>
        <scheme val="minor"/>
      </rPr>
      <t>A5</t>
    </r>
    <r>
      <rPr>
        <sz val="11"/>
        <color rgb="FFFF0000"/>
        <rFont val="Calibri"/>
        <family val="2"/>
        <scheme val="minor"/>
      </rPr>
      <t>. Use paste values.</t>
    </r>
  </si>
  <si>
    <r>
      <t>Molecular Weight [g mol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]</t>
    </r>
  </si>
  <si>
    <t>Enter concentration of each amino acid</t>
  </si>
  <si>
    <t>Enter the experimentally achieved protein concentration</t>
  </si>
  <si>
    <t>MGSSHHHHHHSSGLVPRGSHMVSKGEELFTGVVPILVELDGDVNGHKFSVRGEGEGDATNGKLTLKFICTTGKLPVPWPTLVTTLTYGVQCFSRYPDHMKQHDFFKSAMPEGYVQERTISFKDDGTYKTRAEVKFEGDTLVNRIELKGIDFKEDGNILGHKLEYNFNSHNVYITADKQKNGIKANFKIRHNVEDGSVQLADHYQQNTPIGDGPVLLPDNHYLSTQSKLSKDPNEKRDHMVLLEFVTAAGITLGMDELYK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</si>
</sst>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E+00\ &quot;mol&quot;"/>
    <numFmt numFmtId="165" formatCode="0\ &quot;µl&quot;"/>
    <numFmt numFmtId="166" formatCode="0.0\ &quot;µM&quot;"/>
    <numFmt numFmtId="167" formatCode="0.00\ &quot;mM&quot;"/>
    <numFmt numFmtId="168" formatCode="0.0\ &quot;mmol mol-1&quot;"/>
    <numFmt numFmtId="169" formatCode="0.000\ &quot;mg mL-1&quot;"/>
    <numFmt numFmtId="170" formatCode="0.000"/>
  </numFmts>
  <fonts count="13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 Unicode MS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164" fontId="0" fillId="0" borderId="7" xfId="0" applyNumberFormat="1" applyBorder="1"/>
    <xf numFmtId="0" fontId="0" fillId="0" borderId="7" xfId="0" applyBorder="1"/>
    <xf numFmtId="0" fontId="0" fillId="0" borderId="5" xfId="0" applyBorder="1"/>
    <xf numFmtId="0" fontId="0" fillId="0" borderId="12" xfId="0" applyBorder="1"/>
    <xf numFmtId="11" fontId="0" fillId="0" borderId="0" xfId="0" applyNumberFormat="1"/>
    <xf numFmtId="11" fontId="0" fillId="0" borderId="1" xfId="0" applyNumberFormat="1" applyBorder="1"/>
    <xf numFmtId="165" fontId="0" fillId="0" borderId="0" xfId="0" applyNumberFormat="1" applyAlignment="1">
      <alignment wrapText="1"/>
    </xf>
    <xf numFmtId="0" fontId="2" fillId="0" borderId="0" xfId="0" applyFont="1"/>
    <xf numFmtId="0" fontId="0" fillId="0" borderId="0" xfId="0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6" fillId="6" borderId="15" xfId="0" applyFont="1" applyFill="1" applyBorder="1" applyAlignment="1">
      <alignment horizontal="center" vertical="center"/>
    </xf>
    <xf numFmtId="0" fontId="0" fillId="6" borderId="16" xfId="0" applyFill="1" applyBorder="1" applyAlignment="1">
      <alignment horizontal="center"/>
    </xf>
    <xf numFmtId="0" fontId="0" fillId="0" borderId="0" xfId="0" applyAlignment="1">
      <alignment horizontal="center" wrapText="1"/>
    </xf>
    <xf numFmtId="167" fontId="0" fillId="0" borderId="0" xfId="0" applyNumberFormat="1"/>
    <xf numFmtId="0" fontId="0" fillId="5" borderId="0" xfId="0" applyFill="1"/>
    <xf numFmtId="0" fontId="5" fillId="0" borderId="7" xfId="0" applyFont="1" applyBorder="1"/>
    <xf numFmtId="0" fontId="0" fillId="2" borderId="6" xfId="0" applyFill="1" applyBorder="1"/>
    <xf numFmtId="0" fontId="0" fillId="2" borderId="13" xfId="0" applyFill="1" applyBorder="1"/>
    <xf numFmtId="0" fontId="0" fillId="3" borderId="2" xfId="0" applyFill="1" applyBorder="1" applyAlignment="1">
      <alignment horizontal="center"/>
    </xf>
    <xf numFmtId="164" fontId="0" fillId="0" borderId="0" xfId="0" applyNumberFormat="1"/>
    <xf numFmtId="11" fontId="0" fillId="0" borderId="7" xfId="0" applyNumberFormat="1" applyBorder="1"/>
    <xf numFmtId="11" fontId="0" fillId="0" borderId="5" xfId="0" applyNumberFormat="1" applyBorder="1"/>
    <xf numFmtId="11" fontId="0" fillId="0" borderId="12" xfId="0" applyNumberFormat="1" applyBorder="1"/>
    <xf numFmtId="11" fontId="0" fillId="0" borderId="8" xfId="0" applyNumberFormat="1" applyBorder="1"/>
    <xf numFmtId="11" fontId="5" fillId="0" borderId="8" xfId="0" applyNumberFormat="1" applyFont="1" applyBorder="1"/>
    <xf numFmtId="11" fontId="0" fillId="0" borderId="6" xfId="0" applyNumberFormat="1" applyBorder="1"/>
    <xf numFmtId="11" fontId="0" fillId="0" borderId="11" xfId="0" applyNumberFormat="1" applyBorder="1"/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6" fillId="3" borderId="18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3" fillId="0" borderId="2" xfId="0" applyFont="1" applyBorder="1"/>
    <xf numFmtId="0" fontId="0" fillId="3" borderId="10" xfId="0" applyFill="1" applyBorder="1"/>
    <xf numFmtId="0" fontId="0" fillId="3" borderId="11" xfId="0" applyFill="1" applyBorder="1"/>
    <xf numFmtId="11" fontId="5" fillId="0" borderId="0" xfId="0" applyNumberFormat="1" applyFont="1"/>
    <xf numFmtId="0" fontId="0" fillId="0" borderId="17" xfId="0" applyBorder="1"/>
    <xf numFmtId="0" fontId="0" fillId="0" borderId="18" xfId="0" applyBorder="1"/>
    <xf numFmtId="0" fontId="0" fillId="0" borderId="13" xfId="0" applyBorder="1"/>
    <xf numFmtId="0" fontId="0" fillId="0" borderId="2" xfId="0" applyBorder="1"/>
    <xf numFmtId="11" fontId="0" fillId="0" borderId="17" xfId="0" applyNumberFormat="1" applyBorder="1"/>
    <xf numFmtId="11" fontId="0" fillId="0" borderId="18" xfId="0" applyNumberFormat="1" applyBorder="1"/>
    <xf numFmtId="11" fontId="0" fillId="0" borderId="13" xfId="0" applyNumberFormat="1" applyBorder="1"/>
    <xf numFmtId="0" fontId="0" fillId="3" borderId="18" xfId="0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7" fillId="5" borderId="3" xfId="0" applyFont="1" applyFill="1" applyBorder="1" applyAlignment="1">
      <alignment horizontal="center" vertical="center"/>
    </xf>
    <xf numFmtId="10" fontId="7" fillId="5" borderId="17" xfId="0" applyNumberFormat="1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10" fontId="7" fillId="5" borderId="18" xfId="0" applyNumberFormat="1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10" fontId="7" fillId="5" borderId="13" xfId="0" applyNumberFormat="1" applyFont="1" applyFill="1" applyBorder="1" applyAlignment="1">
      <alignment horizontal="center"/>
    </xf>
    <xf numFmtId="0" fontId="0" fillId="3" borderId="0" xfId="0" applyFill="1"/>
    <xf numFmtId="166" fontId="0" fillId="0" borderId="0" xfId="0" applyNumberFormat="1"/>
    <xf numFmtId="0" fontId="0" fillId="7" borderId="0" xfId="0" applyFill="1"/>
    <xf numFmtId="0" fontId="0" fillId="7" borderId="0" xfId="0" applyFill="1" applyAlignment="1">
      <alignment horizontal="center"/>
    </xf>
    <xf numFmtId="0" fontId="7" fillId="7" borderId="0" xfId="0" applyFont="1" applyFill="1" applyAlignment="1">
      <alignment horizontal="center" vertical="center" wrapText="1"/>
    </xf>
    <xf numFmtId="0" fontId="0" fillId="7" borderId="0" xfId="0" applyFill="1" applyAlignment="1">
      <alignment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/>
    </xf>
    <xf numFmtId="0" fontId="0" fillId="5" borderId="6" xfId="0" applyFill="1" applyBorder="1"/>
    <xf numFmtId="0" fontId="0" fillId="3" borderId="0" xfId="0" applyFill="1" applyAlignment="1">
      <alignment horizontal="center"/>
    </xf>
    <xf numFmtId="167" fontId="0" fillId="3" borderId="0" xfId="0" applyNumberFormat="1" applyFill="1"/>
    <xf numFmtId="0" fontId="0" fillId="3" borderId="9" xfId="0" applyFill="1" applyBorder="1"/>
    <xf numFmtId="0" fontId="0" fillId="6" borderId="2" xfId="0" applyFill="1" applyBorder="1" applyAlignment="1">
      <alignment horizontal="center"/>
    </xf>
    <xf numFmtId="0" fontId="6" fillId="6" borderId="2" xfId="0" applyFont="1" applyFill="1" applyBorder="1" applyAlignment="1">
      <alignment horizontal="center" vertical="center"/>
    </xf>
    <xf numFmtId="167" fontId="0" fillId="4" borderId="2" xfId="0" applyNumberFormat="1" applyFill="1" applyBorder="1"/>
    <xf numFmtId="169" fontId="0" fillId="5" borderId="2" xfId="0" applyNumberFormat="1" applyFill="1" applyBorder="1"/>
    <xf numFmtId="168" fontId="0" fillId="5" borderId="2" xfId="0" applyNumberFormat="1" applyFill="1" applyBorder="1"/>
    <xf numFmtId="0" fontId="3" fillId="3" borderId="0" xfId="0" applyFont="1" applyFill="1"/>
    <xf numFmtId="166" fontId="0" fillId="5" borderId="11" xfId="0" applyNumberFormat="1" applyFill="1" applyBorder="1"/>
    <xf numFmtId="0" fontId="0" fillId="3" borderId="2" xfId="0" applyFill="1" applyBorder="1"/>
    <xf numFmtId="0" fontId="0" fillId="6" borderId="1" xfId="0" applyFill="1" applyBorder="1" applyAlignment="1">
      <alignment horizontal="center" wrapText="1"/>
    </xf>
    <xf numFmtId="0" fontId="0" fillId="3" borderId="12" xfId="0" applyFill="1" applyBorder="1"/>
    <xf numFmtId="2" fontId="0" fillId="0" borderId="18" xfId="0" applyNumberFormat="1" applyBorder="1"/>
    <xf numFmtId="2" fontId="0" fillId="0" borderId="13" xfId="0" applyNumberFormat="1" applyBorder="1"/>
    <xf numFmtId="0" fontId="0" fillId="6" borderId="17" xfId="0" applyFill="1" applyBorder="1" applyAlignment="1">
      <alignment horizontal="center"/>
    </xf>
    <xf numFmtId="0" fontId="0" fillId="6" borderId="19" xfId="0" applyFill="1" applyBorder="1"/>
    <xf numFmtId="166" fontId="11" fillId="5" borderId="20" xfId="0" applyNumberFormat="1" applyFont="1" applyFill="1" applyBorder="1"/>
    <xf numFmtId="169" fontId="11" fillId="5" borderId="21" xfId="0" applyNumberFormat="1" applyFont="1" applyFill="1" applyBorder="1"/>
    <xf numFmtId="167" fontId="0" fillId="6" borderId="2" xfId="0" applyNumberFormat="1" applyFill="1" applyBorder="1" applyAlignment="1">
      <alignment horizontal="center" vertical="center"/>
    </xf>
    <xf numFmtId="0" fontId="0" fillId="4" borderId="2" xfId="0" applyFill="1" applyBorder="1"/>
    <xf numFmtId="0" fontId="2" fillId="3" borderId="0" xfId="0" applyFont="1" applyFill="1" applyAlignment="1">
      <alignment wrapText="1"/>
    </xf>
    <xf numFmtId="2" fontId="5" fillId="5" borderId="2" xfId="0" applyNumberFormat="1" applyFont="1" applyFill="1" applyBorder="1"/>
    <xf numFmtId="170" fontId="0" fillId="4" borderId="2" xfId="0" applyNumberFormat="1" applyFill="1" applyBorder="1"/>
    <xf numFmtId="0" fontId="7" fillId="6" borderId="13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5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6" borderId="6" xfId="0" applyFill="1" applyBorder="1" applyAlignment="1">
      <alignment horizontal="center" wrapText="1"/>
    </xf>
    <xf numFmtId="0" fontId="0" fillId="6" borderId="1" xfId="0" applyFill="1" applyBorder="1"/>
    <xf numFmtId="0" fontId="0" fillId="6" borderId="6" xfId="0" applyFill="1" applyBorder="1"/>
    <xf numFmtId="10" fontId="0" fillId="5" borderId="2" xfId="0" applyNumberFormat="1" applyFill="1" applyBorder="1"/>
    <xf numFmtId="0" fontId="0" fillId="4" borderId="0" xfId="0" applyFill="1"/>
    <xf numFmtId="10" fontId="0" fillId="7" borderId="0" xfId="0" applyNumberFormat="1" applyFill="1"/>
    <xf numFmtId="0" fontId="2" fillId="6" borderId="3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horizontal="center" wrapText="1"/>
    </xf>
    <xf numFmtId="0" fontId="7" fillId="6" borderId="3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left" vertical="top" wrapText="1"/>
    </xf>
    <xf numFmtId="0" fontId="0" fillId="4" borderId="12" xfId="0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center" wrapText="1"/>
    </xf>
    <xf numFmtId="0" fontId="0" fillId="6" borderId="3" xfId="0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  <xf numFmtId="0" fontId="0" fillId="6" borderId="4" xfId="0" applyFill="1" applyBorder="1" applyAlignment="1">
      <alignment horizontal="center" wrapText="1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1">
    <cellStyle name="Standard" xfId="0" builtinId="0"/>
  </cellStyles>
  <dxfs count="5">
    <dxf>
      <font>
        <strike val="0"/>
        <color rgb="FF00B0F0"/>
      </font>
    </dxf>
    <dxf>
      <font>
        <strike val="0"/>
        <color rgb="FF00B0F0"/>
      </font>
    </dxf>
    <dxf>
      <font>
        <strike val="0"/>
        <color rgb="FF00B0F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P39"/>
  <sheetViews>
    <sheetView tabSelected="1" workbookViewId="0">
      <selection activeCell="D1" sqref="D1"/>
    </sheetView>
  </sheetViews>
  <sheetFormatPr baseColWidth="10" defaultColWidth="11.453125" defaultRowHeight="14.5"/>
  <cols>
    <col min="1" max="1" width="14.1796875" style="57" customWidth="1"/>
    <col min="2" max="3" width="7.453125" style="57" customWidth="1"/>
    <col min="4" max="4" width="16.7265625" style="57" customWidth="1"/>
    <col min="5" max="5" width="31.26953125" style="57" bestFit="1" customWidth="1"/>
    <col min="6" max="6" width="15.7265625" style="57" customWidth="1"/>
    <col min="7" max="7" width="25.26953125" style="57" customWidth="1"/>
    <col min="8" max="9" width="13.1796875" style="57" bestFit="1" customWidth="1"/>
    <col min="10" max="16384" width="11.453125" style="57"/>
  </cols>
  <sheetData>
    <row r="1" spans="1:16">
      <c r="A1" s="99" t="s">
        <v>88</v>
      </c>
      <c r="D1"/>
    </row>
    <row r="2" spans="1:16">
      <c r="A2" s="16" t="s">
        <v>89</v>
      </c>
    </row>
    <row r="4" spans="1:16" ht="27.65" customHeight="1">
      <c r="A4" s="103" t="s">
        <v>23</v>
      </c>
      <c r="B4" s="104"/>
      <c r="C4" s="105"/>
      <c r="D4" s="101" t="s">
        <v>90</v>
      </c>
      <c r="E4" s="102"/>
    </row>
    <row r="5" spans="1:16" s="106" customFormat="1">
      <c r="A5" s="106" t="s">
        <v>94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7" spans="1:16" ht="31">
      <c r="A7" s="61" t="s">
        <v>30</v>
      </c>
      <c r="B7" s="61" t="s">
        <v>31</v>
      </c>
      <c r="C7" s="61" t="s">
        <v>32</v>
      </c>
      <c r="D7" s="62" t="s">
        <v>91</v>
      </c>
      <c r="E7" s="63" t="s">
        <v>73</v>
      </c>
      <c r="F7" s="64" t="s">
        <v>74</v>
      </c>
      <c r="G7" s="61" t="s">
        <v>79</v>
      </c>
    </row>
    <row r="8" spans="1:16">
      <c r="A8" s="45" t="s">
        <v>33</v>
      </c>
      <c r="B8" s="45" t="s">
        <v>34</v>
      </c>
      <c r="C8" s="45" t="s">
        <v>0</v>
      </c>
      <c r="D8" s="46">
        <v>89.1</v>
      </c>
      <c r="E8" s="49">
        <f t="shared" ref="E8:E27" si="0">LEN($A$5)-LEN(SUBSTITUTE($A$5,C8,""))</f>
        <v>8</v>
      </c>
      <c r="F8" s="50">
        <f>IFERROR((E8/SUM($E$8:$E$27)), 0)</f>
        <v>3.0888030888030889E-2</v>
      </c>
      <c r="G8" s="65">
        <f>89.1*'Amino acid sequence'!E8+174.2*'Amino acid sequence'!E9+132.12*'Amino acid sequence'!E10+133.1*'Amino acid sequence'!E11+121.16*'Amino acid sequence'!E12+146.15*'Amino acid sequence'!E13+147.13*'Amino acid sequence'!E14+75.07*'Amino acid sequence'!E15+155.16*'Amino acid sequence'!E16+131.17*'Amino acid sequence'!E17+131.17*'Amino acid sequence'!E18+146.19*'Amino acid sequence'!E19+149.21*'Amino acid sequence'!E20+165.19*'Amino acid sequence'!E21+115.13*'Amino acid sequence'!E22+105.09*'Amino acid sequence'!E23+119.12*'Amino acid sequence'!E24+204.23*'Amino acid sequence'!E25+181.19*'Amino acid sequence'!E26+117.15*'Amino acid sequence'!E27-(SUM('Amino acid sequence'!E8:E27)-1)*18</f>
        <v>29016.699999999997</v>
      </c>
      <c r="J8" s="58"/>
    </row>
    <row r="9" spans="1:16">
      <c r="A9" s="45" t="s">
        <v>35</v>
      </c>
      <c r="B9" s="45" t="s">
        <v>36</v>
      </c>
      <c r="C9" s="45" t="s">
        <v>1</v>
      </c>
      <c r="D9" s="46">
        <v>174.2</v>
      </c>
      <c r="E9" s="51">
        <f t="shared" si="0"/>
        <v>8</v>
      </c>
      <c r="F9" s="52">
        <f t="shared" ref="F9:F27" si="1">E9/SUM($E$8:$E$27)</f>
        <v>3.0888030888030889E-2</v>
      </c>
    </row>
    <row r="10" spans="1:16">
      <c r="A10" s="45" t="s">
        <v>37</v>
      </c>
      <c r="B10" s="45" t="s">
        <v>38</v>
      </c>
      <c r="C10" s="45" t="s">
        <v>2</v>
      </c>
      <c r="D10" s="46">
        <v>132.1</v>
      </c>
      <c r="E10" s="51">
        <f t="shared" si="0"/>
        <v>13</v>
      </c>
      <c r="F10" s="52">
        <f t="shared" si="1"/>
        <v>5.019305019305019E-2</v>
      </c>
    </row>
    <row r="11" spans="1:16">
      <c r="A11" s="45" t="s">
        <v>39</v>
      </c>
      <c r="B11" s="45" t="s">
        <v>40</v>
      </c>
      <c r="C11" s="45" t="s">
        <v>3</v>
      </c>
      <c r="D11" s="46">
        <v>133.1</v>
      </c>
      <c r="E11" s="51">
        <f t="shared" si="0"/>
        <v>18</v>
      </c>
      <c r="F11" s="52">
        <f t="shared" si="1"/>
        <v>6.9498069498069498E-2</v>
      </c>
    </row>
    <row r="12" spans="1:16">
      <c r="A12" s="45" t="s">
        <v>41</v>
      </c>
      <c r="B12" s="45" t="s">
        <v>42</v>
      </c>
      <c r="C12" s="45" t="s">
        <v>4</v>
      </c>
      <c r="D12" s="46">
        <v>121.2</v>
      </c>
      <c r="E12" s="51">
        <f t="shared" si="0"/>
        <v>2</v>
      </c>
      <c r="F12" s="52">
        <f t="shared" si="1"/>
        <v>7.7220077220077222E-3</v>
      </c>
    </row>
    <row r="13" spans="1:16">
      <c r="A13" s="45" t="s">
        <v>43</v>
      </c>
      <c r="B13" s="45" t="s">
        <v>44</v>
      </c>
      <c r="C13" s="45" t="s">
        <v>6</v>
      </c>
      <c r="D13" s="46">
        <v>147.1</v>
      </c>
      <c r="E13" s="51">
        <f t="shared" si="0"/>
        <v>16</v>
      </c>
      <c r="F13" s="52">
        <f t="shared" si="1"/>
        <v>6.1776061776061778E-2</v>
      </c>
    </row>
    <row r="14" spans="1:16">
      <c r="A14" s="45" t="s">
        <v>45</v>
      </c>
      <c r="B14" s="45" t="s">
        <v>46</v>
      </c>
      <c r="C14" s="45" t="s">
        <v>5</v>
      </c>
      <c r="D14" s="46">
        <v>146.19999999999999</v>
      </c>
      <c r="E14" s="51">
        <f t="shared" si="0"/>
        <v>8</v>
      </c>
      <c r="F14" s="52">
        <f t="shared" si="1"/>
        <v>3.0888030888030889E-2</v>
      </c>
    </row>
    <row r="15" spans="1:16">
      <c r="A15" s="45" t="s">
        <v>47</v>
      </c>
      <c r="B15" s="45" t="s">
        <v>48</v>
      </c>
      <c r="C15" s="45" t="s">
        <v>7</v>
      </c>
      <c r="D15" s="46">
        <v>75.099999999999994</v>
      </c>
      <c r="E15" s="51">
        <f t="shared" si="0"/>
        <v>25</v>
      </c>
      <c r="F15" s="52">
        <f t="shared" si="1"/>
        <v>9.6525096525096526E-2</v>
      </c>
    </row>
    <row r="16" spans="1:16">
      <c r="A16" s="45" t="s">
        <v>49</v>
      </c>
      <c r="B16" s="45" t="s">
        <v>50</v>
      </c>
      <c r="C16" s="45" t="s">
        <v>8</v>
      </c>
      <c r="D16" s="46">
        <v>155.19999999999999</v>
      </c>
      <c r="E16" s="51">
        <f t="shared" si="0"/>
        <v>16</v>
      </c>
      <c r="F16" s="52">
        <f t="shared" si="1"/>
        <v>6.1776061776061778E-2</v>
      </c>
    </row>
    <row r="17" spans="1:16">
      <c r="A17" s="45" t="s">
        <v>51</v>
      </c>
      <c r="B17" s="45" t="s">
        <v>52</v>
      </c>
      <c r="C17" s="45" t="s">
        <v>9</v>
      </c>
      <c r="D17" s="46">
        <v>131.19999999999999</v>
      </c>
      <c r="E17" s="51">
        <f t="shared" si="0"/>
        <v>11</v>
      </c>
      <c r="F17" s="52">
        <f t="shared" si="1"/>
        <v>4.2471042471042469E-2</v>
      </c>
    </row>
    <row r="18" spans="1:16">
      <c r="A18" s="45" t="s">
        <v>53</v>
      </c>
      <c r="B18" s="45" t="s">
        <v>54</v>
      </c>
      <c r="C18" s="45" t="s">
        <v>10</v>
      </c>
      <c r="D18" s="46">
        <v>131.19999999999999</v>
      </c>
      <c r="E18" s="51">
        <f t="shared" si="0"/>
        <v>22</v>
      </c>
      <c r="F18" s="52">
        <f t="shared" si="1"/>
        <v>8.4942084942084939E-2</v>
      </c>
    </row>
    <row r="19" spans="1:16">
      <c r="A19" s="45" t="s">
        <v>55</v>
      </c>
      <c r="B19" s="45" t="s">
        <v>56</v>
      </c>
      <c r="C19" s="45" t="s">
        <v>11</v>
      </c>
      <c r="D19" s="46">
        <v>146.19999999999999</v>
      </c>
      <c r="E19" s="51">
        <f t="shared" si="0"/>
        <v>21</v>
      </c>
      <c r="F19" s="52">
        <f t="shared" si="1"/>
        <v>8.1081081081081086E-2</v>
      </c>
      <c r="L19" s="59"/>
      <c r="M19" s="59"/>
      <c r="N19" s="59"/>
      <c r="O19" s="59"/>
    </row>
    <row r="20" spans="1:16">
      <c r="A20" s="45" t="s">
        <v>57</v>
      </c>
      <c r="B20" s="45" t="s">
        <v>58</v>
      </c>
      <c r="C20" s="45" t="s">
        <v>12</v>
      </c>
      <c r="D20" s="46">
        <v>149.19999999999999</v>
      </c>
      <c r="E20" s="51">
        <f t="shared" si="0"/>
        <v>6</v>
      </c>
      <c r="F20" s="52">
        <f t="shared" si="1"/>
        <v>2.3166023166023165E-2</v>
      </c>
      <c r="L20" s="60"/>
      <c r="M20" s="60"/>
      <c r="N20" s="60"/>
      <c r="O20" s="60"/>
    </row>
    <row r="21" spans="1:16">
      <c r="A21" s="45" t="s">
        <v>59</v>
      </c>
      <c r="B21" s="45" t="s">
        <v>60</v>
      </c>
      <c r="C21" s="45" t="s">
        <v>13</v>
      </c>
      <c r="D21" s="46">
        <v>165.2</v>
      </c>
      <c r="E21" s="51">
        <f t="shared" si="0"/>
        <v>12</v>
      </c>
      <c r="F21" s="52">
        <f t="shared" si="1"/>
        <v>4.633204633204633E-2</v>
      </c>
      <c r="L21" s="60"/>
      <c r="M21" s="60"/>
      <c r="N21" s="60"/>
      <c r="O21" s="60"/>
    </row>
    <row r="22" spans="1:16">
      <c r="A22" s="45" t="s">
        <v>61</v>
      </c>
      <c r="B22" s="45" t="s">
        <v>62</v>
      </c>
      <c r="C22" s="45" t="s">
        <v>14</v>
      </c>
      <c r="D22" s="46">
        <v>115.1</v>
      </c>
      <c r="E22" s="51">
        <f t="shared" si="0"/>
        <v>11</v>
      </c>
      <c r="F22" s="52">
        <f t="shared" si="1"/>
        <v>4.2471042471042469E-2</v>
      </c>
      <c r="M22" s="60"/>
      <c r="N22" s="60"/>
      <c r="O22" s="60"/>
      <c r="P22" s="60"/>
    </row>
    <row r="23" spans="1:16">
      <c r="A23" s="45" t="s">
        <v>63</v>
      </c>
      <c r="B23" s="45" t="s">
        <v>64</v>
      </c>
      <c r="C23" s="45" t="s">
        <v>15</v>
      </c>
      <c r="D23" s="46">
        <v>105.1</v>
      </c>
      <c r="E23" s="51">
        <f t="shared" si="0"/>
        <v>15</v>
      </c>
      <c r="F23" s="52">
        <f t="shared" si="1"/>
        <v>5.7915057915057917E-2</v>
      </c>
      <c r="M23" s="60"/>
      <c r="N23" s="60"/>
      <c r="O23" s="60"/>
      <c r="P23" s="60"/>
    </row>
    <row r="24" spans="1:16">
      <c r="A24" s="45" t="s">
        <v>65</v>
      </c>
      <c r="B24" s="45" t="s">
        <v>66</v>
      </c>
      <c r="C24" s="45" t="s">
        <v>16</v>
      </c>
      <c r="D24" s="46">
        <v>119.1</v>
      </c>
      <c r="E24" s="51">
        <f t="shared" si="0"/>
        <v>18</v>
      </c>
      <c r="F24" s="52">
        <f t="shared" si="1"/>
        <v>6.9498069498069498E-2</v>
      </c>
      <c r="M24" s="60"/>
      <c r="N24" s="60"/>
      <c r="O24" s="60"/>
      <c r="P24" s="60"/>
    </row>
    <row r="25" spans="1:16">
      <c r="A25" s="45" t="s">
        <v>67</v>
      </c>
      <c r="B25" s="45" t="s">
        <v>68</v>
      </c>
      <c r="C25" s="45" t="s">
        <v>17</v>
      </c>
      <c r="D25" s="46">
        <v>204.2</v>
      </c>
      <c r="E25" s="51">
        <f t="shared" si="0"/>
        <v>1</v>
      </c>
      <c r="F25" s="52">
        <f t="shared" si="1"/>
        <v>3.8610038610038611E-3</v>
      </c>
      <c r="M25" s="60"/>
      <c r="N25" s="60"/>
      <c r="O25" s="60"/>
      <c r="P25" s="60"/>
    </row>
    <row r="26" spans="1:16">
      <c r="A26" s="45" t="s">
        <v>69</v>
      </c>
      <c r="B26" s="45" t="s">
        <v>70</v>
      </c>
      <c r="C26" s="45" t="s">
        <v>18</v>
      </c>
      <c r="D26" s="46">
        <v>181.2</v>
      </c>
      <c r="E26" s="51">
        <f t="shared" si="0"/>
        <v>9</v>
      </c>
      <c r="F26" s="52">
        <f t="shared" si="1"/>
        <v>3.4749034749034749E-2</v>
      </c>
      <c r="M26" s="60"/>
      <c r="N26" s="60"/>
      <c r="O26" s="60"/>
      <c r="P26" s="60"/>
    </row>
    <row r="27" spans="1:16">
      <c r="A27" s="47" t="s">
        <v>71</v>
      </c>
      <c r="B27" s="47" t="s">
        <v>72</v>
      </c>
      <c r="C27" s="47" t="s">
        <v>19</v>
      </c>
      <c r="D27" s="48">
        <v>117.1</v>
      </c>
      <c r="E27" s="53">
        <f t="shared" si="0"/>
        <v>19</v>
      </c>
      <c r="F27" s="54">
        <f t="shared" si="1"/>
        <v>7.3359073359073365E-2</v>
      </c>
      <c r="M27" s="60"/>
      <c r="N27" s="60"/>
      <c r="O27" s="60"/>
      <c r="P27" s="60"/>
    </row>
    <row r="28" spans="1:16">
      <c r="F28" s="100"/>
      <c r="M28" s="60"/>
      <c r="N28" s="60"/>
      <c r="O28" s="60"/>
      <c r="P28" s="60"/>
    </row>
    <row r="29" spans="1:16">
      <c r="M29" s="60"/>
      <c r="N29" s="60"/>
      <c r="O29" s="60"/>
      <c r="P29" s="60"/>
    </row>
    <row r="30" spans="1:16">
      <c r="M30" s="60"/>
      <c r="N30" s="60"/>
      <c r="O30" s="60"/>
      <c r="P30" s="60"/>
    </row>
    <row r="31" spans="1:16">
      <c r="M31" s="60"/>
      <c r="N31" s="60"/>
      <c r="O31" s="60"/>
      <c r="P31" s="60"/>
    </row>
    <row r="32" spans="1:16">
      <c r="M32" s="60"/>
      <c r="N32" s="60"/>
      <c r="O32" s="60"/>
      <c r="P32" s="60"/>
    </row>
    <row r="33" spans="13:16">
      <c r="M33" s="60"/>
      <c r="N33" s="60"/>
      <c r="O33" s="60"/>
      <c r="P33" s="60"/>
    </row>
    <row r="34" spans="13:16">
      <c r="M34" s="60"/>
      <c r="N34" s="60"/>
      <c r="O34" s="60"/>
      <c r="P34" s="60"/>
    </row>
    <row r="35" spans="13:16">
      <c r="M35" s="60"/>
      <c r="N35" s="60"/>
      <c r="O35" s="60"/>
      <c r="P35" s="60"/>
    </row>
    <row r="36" spans="13:16">
      <c r="M36" s="60"/>
      <c r="N36" s="60"/>
      <c r="O36" s="60"/>
      <c r="P36" s="60"/>
    </row>
    <row r="37" spans="13:16">
      <c r="M37" s="60"/>
      <c r="N37" s="60"/>
      <c r="O37" s="60"/>
      <c r="P37" s="60"/>
    </row>
    <row r="38" spans="13:16">
      <c r="M38" s="60"/>
      <c r="N38" s="60"/>
      <c r="O38" s="60"/>
      <c r="P38" s="60"/>
    </row>
    <row r="39" spans="13:16">
      <c r="M39" s="60"/>
      <c r="N39" s="60"/>
      <c r="O39" s="60"/>
      <c r="P39" s="60"/>
    </row>
  </sheetData>
  <mergeCells count="3">
    <mergeCell ref="D4:E4"/>
    <mergeCell ref="A4:C4"/>
    <mergeCell ref="A5:XFD5"/>
  </mergeCells>
  <pageMargins left="0.7" right="0.7" top="0.78740157499999996" bottom="0.78740157499999996" header="0.3" footer="0.3"/>
  <pageSetup paperSize="9" orientation="portrait" r:id="rId1"/>
  <headerFooter>
    <oddFooter>&amp;C&amp;1#&amp;"Arial"&amp;10&amp;K000000Internal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Q76"/>
  <sheetViews>
    <sheetView showGridLines="0" zoomScaleNormal="100" workbookViewId="0">
      <selection activeCell="E14" sqref="E14"/>
    </sheetView>
  </sheetViews>
  <sheetFormatPr baseColWidth="10" defaultColWidth="11.453125" defaultRowHeight="14.5"/>
  <cols>
    <col min="1" max="1" width="12.453125" bestFit="1" customWidth="1"/>
    <col min="2" max="2" width="11.1796875" bestFit="1" customWidth="1"/>
    <col min="3" max="3" width="16.453125" customWidth="1"/>
    <col min="4" max="4" width="2.7265625" customWidth="1"/>
    <col min="5" max="5" width="30.81640625" bestFit="1" customWidth="1"/>
    <col min="6" max="8" width="2.7265625" customWidth="1"/>
    <col min="9" max="9" width="11.1796875" bestFit="1" customWidth="1"/>
    <col min="10" max="10" width="12.1796875" customWidth="1"/>
    <col min="11" max="11" width="14.54296875" bestFit="1" customWidth="1"/>
    <col min="12" max="12" width="2.7265625" customWidth="1"/>
    <col min="13" max="13" width="11.1796875" bestFit="1" customWidth="1"/>
    <col min="14" max="14" width="18.1796875" bestFit="1" customWidth="1"/>
    <col min="15" max="15" width="2.81640625" customWidth="1"/>
    <col min="16" max="16" width="13.26953125" bestFit="1" customWidth="1"/>
  </cols>
  <sheetData>
    <row r="1" spans="1:17">
      <c r="A1" s="99" t="s">
        <v>88</v>
      </c>
    </row>
    <row r="2" spans="1:17">
      <c r="A2" s="16" t="s">
        <v>89</v>
      </c>
    </row>
    <row r="4" spans="1:17" ht="15" customHeight="1">
      <c r="A4" s="109" t="s">
        <v>85</v>
      </c>
      <c r="B4" s="110"/>
      <c r="C4" s="110"/>
      <c r="D4" s="110"/>
      <c r="E4" s="110"/>
      <c r="F4" s="111"/>
      <c r="G4" s="14"/>
      <c r="H4" s="109" t="s">
        <v>81</v>
      </c>
      <c r="I4" s="110"/>
      <c r="J4" s="110"/>
      <c r="K4" s="110"/>
      <c r="L4" s="110"/>
      <c r="M4" s="110"/>
      <c r="N4" s="110"/>
      <c r="O4" s="110"/>
      <c r="P4" s="111"/>
    </row>
    <row r="5" spans="1:17" ht="31.15" customHeight="1">
      <c r="A5" s="93"/>
      <c r="B5" s="115" t="s">
        <v>92</v>
      </c>
      <c r="C5" s="115"/>
      <c r="D5" s="94"/>
      <c r="E5" s="77" t="s">
        <v>93</v>
      </c>
      <c r="F5" s="95"/>
      <c r="G5" s="14"/>
      <c r="H5" s="93"/>
      <c r="I5" s="114" t="s">
        <v>82</v>
      </c>
      <c r="J5" s="114"/>
      <c r="K5" s="114"/>
      <c r="L5" s="94"/>
      <c r="M5" s="114" t="s">
        <v>83</v>
      </c>
      <c r="N5" s="114"/>
      <c r="O5" s="96"/>
      <c r="P5" s="97" t="s">
        <v>87</v>
      </c>
    </row>
    <row r="6" spans="1:17" ht="18" customHeight="1">
      <c r="A6" s="55"/>
      <c r="B6" s="90" t="s">
        <v>30</v>
      </c>
      <c r="C6" s="91" t="s">
        <v>75</v>
      </c>
      <c r="D6" s="66"/>
      <c r="E6" s="92" t="s">
        <v>78</v>
      </c>
      <c r="F6" s="66"/>
      <c r="G6" s="9"/>
      <c r="H6" s="66"/>
      <c r="I6" s="90" t="s">
        <v>30</v>
      </c>
      <c r="J6" s="112" t="s">
        <v>75</v>
      </c>
      <c r="K6" s="113"/>
      <c r="L6" s="55"/>
      <c r="M6" s="90" t="s">
        <v>30</v>
      </c>
      <c r="N6" s="91" t="s">
        <v>77</v>
      </c>
      <c r="O6" s="55"/>
      <c r="P6" s="98">
        <f>$E$7/$J$27</f>
        <v>1.1415359999999999</v>
      </c>
      <c r="Q6" s="56"/>
    </row>
    <row r="7" spans="1:17" ht="15" customHeight="1">
      <c r="A7" s="55"/>
      <c r="B7" s="69" t="s">
        <v>0</v>
      </c>
      <c r="C7" s="71">
        <v>1.5</v>
      </c>
      <c r="D7" s="67"/>
      <c r="E7" s="86">
        <v>64.86</v>
      </c>
      <c r="F7" s="67"/>
      <c r="G7" s="15"/>
      <c r="H7" s="67"/>
      <c r="I7" s="69" t="s">
        <v>0</v>
      </c>
      <c r="J7" s="75">
        <f>IFERROR(Calculations!E4*10^6, "")</f>
        <v>187.5</v>
      </c>
      <c r="K7" s="72">
        <f>IFERROR(J7*'Amino acid sequence'!$G$8*10^(-6), "")</f>
        <v>5.4406312499999991</v>
      </c>
      <c r="L7" s="55"/>
      <c r="M7" s="10" t="s">
        <v>0</v>
      </c>
      <c r="N7" s="73">
        <f>IFERROR(Calculations!P4, "")</f>
        <v>125</v>
      </c>
      <c r="O7" s="55"/>
      <c r="P7" s="55"/>
    </row>
    <row r="8" spans="1:17" ht="18" customHeight="1">
      <c r="A8" s="55"/>
      <c r="B8" s="69" t="s">
        <v>1</v>
      </c>
      <c r="C8" s="71">
        <v>1.5</v>
      </c>
      <c r="D8" s="67"/>
      <c r="E8" s="67"/>
      <c r="F8" s="67"/>
      <c r="G8" s="15"/>
      <c r="H8" s="67"/>
      <c r="I8" s="69" t="s">
        <v>1</v>
      </c>
      <c r="J8" s="75">
        <f>IFERROR(Calculations!E5*10^6, "")</f>
        <v>187.5</v>
      </c>
      <c r="K8" s="72">
        <f>IFERROR(J8*'Amino acid sequence'!$G$8*10^(-6), "")</f>
        <v>5.4406312499999991</v>
      </c>
      <c r="L8" s="55"/>
      <c r="M8" s="11" t="s">
        <v>1</v>
      </c>
      <c r="N8" s="73">
        <f>IFERROR(Calculations!P5, "")</f>
        <v>125</v>
      </c>
      <c r="O8" s="55"/>
      <c r="P8" s="55"/>
    </row>
    <row r="9" spans="1:17" ht="15" customHeight="1">
      <c r="A9" s="55"/>
      <c r="B9" s="69" t="s">
        <v>2</v>
      </c>
      <c r="C9" s="71">
        <v>1.5</v>
      </c>
      <c r="D9" s="67"/>
      <c r="E9" s="108" t="s">
        <v>86</v>
      </c>
      <c r="F9" s="87"/>
      <c r="G9" s="15"/>
      <c r="H9" s="67"/>
      <c r="I9" s="69" t="s">
        <v>2</v>
      </c>
      <c r="J9" s="75">
        <f>IFERROR(Calculations!E6*10^6, "")</f>
        <v>115.38461538461539</v>
      </c>
      <c r="K9" s="72">
        <f>IFERROR(J9*'Amino acid sequence'!$G$8*10^(-6), "")</f>
        <v>3.3480807692307688</v>
      </c>
      <c r="L9" s="55"/>
      <c r="M9" s="11" t="s">
        <v>2</v>
      </c>
      <c r="N9" s="73">
        <f>IFERROR(Calculations!P6, "")</f>
        <v>76.923076923076934</v>
      </c>
      <c r="O9" s="55"/>
      <c r="P9" s="55"/>
    </row>
    <row r="10" spans="1:17">
      <c r="A10" s="55"/>
      <c r="B10" s="70" t="s">
        <v>3</v>
      </c>
      <c r="C10" s="71">
        <v>1.5</v>
      </c>
      <c r="D10" s="67"/>
      <c r="E10" s="108"/>
      <c r="F10" s="67"/>
      <c r="G10" s="15"/>
      <c r="H10" s="67"/>
      <c r="I10" s="70" t="s">
        <v>3</v>
      </c>
      <c r="J10" s="75">
        <f>IFERROR(Calculations!E7*10^6, "")</f>
        <v>83.333333333333329</v>
      </c>
      <c r="K10" s="72">
        <f>IFERROR(J10*'Amino acid sequence'!$G$8*10^(-6), "")</f>
        <v>2.4180583333333328</v>
      </c>
      <c r="L10" s="55"/>
      <c r="M10" s="12" t="s">
        <v>3</v>
      </c>
      <c r="N10" s="73">
        <f>IFERROR(Calculations!P7, "")</f>
        <v>55.555555555555557</v>
      </c>
      <c r="O10" s="55"/>
      <c r="P10" s="55"/>
    </row>
    <row r="11" spans="1:17" ht="18" customHeight="1">
      <c r="A11" s="55"/>
      <c r="B11" s="69" t="s">
        <v>4</v>
      </c>
      <c r="C11" s="71">
        <v>1.5</v>
      </c>
      <c r="D11" s="67"/>
      <c r="E11" s="108"/>
      <c r="F11" s="67"/>
      <c r="G11" s="15"/>
      <c r="H11" s="67"/>
      <c r="I11" s="69" t="s">
        <v>4</v>
      </c>
      <c r="J11" s="75">
        <f>IFERROR(Calculations!E8*10^6, "")</f>
        <v>750</v>
      </c>
      <c r="K11" s="72">
        <f>IFERROR(J11*'Amino acid sequence'!$G$8*10^(-6), "")</f>
        <v>21.762524999999997</v>
      </c>
      <c r="L11" s="55"/>
      <c r="M11" s="11" t="s">
        <v>4</v>
      </c>
      <c r="N11" s="73">
        <f>IFERROR(Calculations!P8, "")</f>
        <v>500</v>
      </c>
      <c r="O11" s="55"/>
      <c r="P11" s="55"/>
    </row>
    <row r="12" spans="1:17" ht="15" customHeight="1">
      <c r="A12" s="55"/>
      <c r="B12" s="69" t="s">
        <v>5</v>
      </c>
      <c r="C12" s="71">
        <v>1.5</v>
      </c>
      <c r="D12" s="67"/>
      <c r="E12" s="85" t="s">
        <v>84</v>
      </c>
      <c r="F12" s="67"/>
      <c r="G12" s="15"/>
      <c r="H12" s="67"/>
      <c r="I12" s="69" t="s">
        <v>5</v>
      </c>
      <c r="J12" s="75">
        <f>IFERROR(Calculations!E9*10^6, "")</f>
        <v>93.75</v>
      </c>
      <c r="K12" s="72">
        <f>IFERROR(J12*'Amino acid sequence'!$G$8*10^(-6), "")</f>
        <v>2.7203156249999996</v>
      </c>
      <c r="L12" s="55"/>
      <c r="M12" s="11" t="s">
        <v>5</v>
      </c>
      <c r="N12" s="73">
        <f>IFERROR(Calculations!P9, "")</f>
        <v>62.5</v>
      </c>
      <c r="O12" s="55"/>
      <c r="P12" s="55"/>
    </row>
    <row r="13" spans="1:17" ht="15" customHeight="1">
      <c r="A13" s="55"/>
      <c r="B13" s="69" t="s">
        <v>6</v>
      </c>
      <c r="C13" s="71">
        <v>1.5</v>
      </c>
      <c r="D13" s="67"/>
      <c r="E13" s="89">
        <v>1.7735000000000001</v>
      </c>
      <c r="F13" s="67"/>
      <c r="G13" s="15"/>
      <c r="H13" s="67"/>
      <c r="I13" s="69" t="s">
        <v>6</v>
      </c>
      <c r="J13" s="75">
        <f>IFERROR(Calculations!E10*10^6, "")</f>
        <v>187.5</v>
      </c>
      <c r="K13" s="72">
        <f>IFERROR(J13*'Amino acid sequence'!$G$8*10^(-6), "")</f>
        <v>5.4406312499999991</v>
      </c>
      <c r="L13" s="55"/>
      <c r="M13" s="11" t="s">
        <v>6</v>
      </c>
      <c r="N13" s="73">
        <f>IFERROR(Calculations!P10, "")</f>
        <v>125</v>
      </c>
      <c r="O13" s="55"/>
      <c r="P13" s="55"/>
    </row>
    <row r="14" spans="1:17" ht="15" customHeight="1">
      <c r="A14" s="55"/>
      <c r="B14" s="69" t="s">
        <v>7</v>
      </c>
      <c r="C14" s="71">
        <v>1.5</v>
      </c>
      <c r="D14" s="67"/>
      <c r="E14" s="85" t="s">
        <v>78</v>
      </c>
      <c r="F14" s="67"/>
      <c r="G14" s="15"/>
      <c r="H14" s="67"/>
      <c r="I14" s="69" t="s">
        <v>7</v>
      </c>
      <c r="J14" s="75">
        <f>IFERROR(Calculations!E11*10^6, "")</f>
        <v>60</v>
      </c>
      <c r="K14" s="72">
        <f>IFERROR(J14*'Amino acid sequence'!$G$8*10^(-6), "")</f>
        <v>1.7410019999999997</v>
      </c>
      <c r="L14" s="55"/>
      <c r="M14" s="11" t="s">
        <v>7</v>
      </c>
      <c r="N14" s="73">
        <f>IFERROR(Calculations!P11, "")</f>
        <v>40</v>
      </c>
      <c r="O14" s="55"/>
      <c r="P14" s="55"/>
    </row>
    <row r="15" spans="1:17" ht="15" customHeight="1">
      <c r="A15" s="55"/>
      <c r="B15" s="69" t="s">
        <v>8</v>
      </c>
      <c r="C15" s="71">
        <v>1.5</v>
      </c>
      <c r="D15" s="67"/>
      <c r="E15" s="88">
        <f>IFERROR(E13/'Amino acid sequence'!$G$8*1000*1000*E13/E13, "")</f>
        <v>61.119975738109446</v>
      </c>
      <c r="F15" s="67"/>
      <c r="G15" s="15"/>
      <c r="H15" s="67"/>
      <c r="I15" s="69" t="s">
        <v>8</v>
      </c>
      <c r="J15" s="75">
        <f>IFERROR(Calculations!E12*10^6, "")</f>
        <v>93.75</v>
      </c>
      <c r="K15" s="72">
        <f>IFERROR(J15*'Amino acid sequence'!$G$8*10^(-6), "")</f>
        <v>2.7203156249999996</v>
      </c>
      <c r="L15" s="55"/>
      <c r="M15" s="11" t="s">
        <v>8</v>
      </c>
      <c r="N15" s="73">
        <f>IFERROR(Calculations!P12, "")</f>
        <v>62.5</v>
      </c>
      <c r="O15" s="55"/>
      <c r="P15" s="55"/>
    </row>
    <row r="16" spans="1:17" ht="15" customHeight="1">
      <c r="A16" s="55"/>
      <c r="B16" s="69" t="s">
        <v>9</v>
      </c>
      <c r="C16" s="71">
        <v>1.5</v>
      </c>
      <c r="D16" s="67"/>
      <c r="E16" s="67"/>
      <c r="F16" s="67"/>
      <c r="G16" s="15"/>
      <c r="H16" s="67"/>
      <c r="I16" s="69" t="s">
        <v>9</v>
      </c>
      <c r="J16" s="75">
        <f>IFERROR(Calculations!E13*10^6, "")</f>
        <v>136.36363636363637</v>
      </c>
      <c r="K16" s="72">
        <f>IFERROR(J16*'Amino acid sequence'!$G$8*10^(-6), "")</f>
        <v>3.9568227272727268</v>
      </c>
      <c r="L16" s="55"/>
      <c r="M16" s="11" t="s">
        <v>9</v>
      </c>
      <c r="N16" s="73">
        <f>IFERROR(Calculations!P13, "")</f>
        <v>90.909090909090921</v>
      </c>
      <c r="O16" s="55"/>
      <c r="P16" s="55"/>
    </row>
    <row r="17" spans="1:16" ht="15" customHeight="1">
      <c r="A17" s="55"/>
      <c r="B17" s="69" t="s">
        <v>10</v>
      </c>
      <c r="C17" s="71">
        <v>1.25</v>
      </c>
      <c r="D17" s="67"/>
      <c r="E17" s="67"/>
      <c r="F17" s="67"/>
      <c r="G17" s="15"/>
      <c r="H17" s="67"/>
      <c r="I17" s="69" t="s">
        <v>10</v>
      </c>
      <c r="J17" s="75">
        <f>IFERROR(Calculations!E14*10^6, "")</f>
        <v>56.81818181818182</v>
      </c>
      <c r="K17" s="72">
        <f>IFERROR(J17*'Amino acid sequence'!$G$8*10^(-6), "")</f>
        <v>1.6486761363636362</v>
      </c>
      <c r="L17" s="74"/>
      <c r="M17" s="11" t="s">
        <v>10</v>
      </c>
      <c r="N17" s="73">
        <f>IFERROR(Calculations!P14, "")</f>
        <v>45.45454545454546</v>
      </c>
      <c r="O17" s="55"/>
      <c r="P17" s="55"/>
    </row>
    <row r="18" spans="1:16" ht="15" customHeight="1">
      <c r="A18" s="55"/>
      <c r="B18" s="69" t="s">
        <v>11</v>
      </c>
      <c r="C18" s="71">
        <v>1.5</v>
      </c>
      <c r="D18" s="67"/>
      <c r="E18" s="67"/>
      <c r="F18" s="67"/>
      <c r="G18" s="15"/>
      <c r="H18" s="67"/>
      <c r="I18" s="69" t="s">
        <v>11</v>
      </c>
      <c r="J18" s="75">
        <f>IFERROR(Calculations!E15*10^6, "")</f>
        <v>71.428571428571431</v>
      </c>
      <c r="K18" s="72">
        <f>IFERROR(J18*'Amino acid sequence'!$G$8*10^(-6), "")</f>
        <v>2.0726214285714284</v>
      </c>
      <c r="L18" s="55"/>
      <c r="M18" s="11" t="s">
        <v>11</v>
      </c>
      <c r="N18" s="73">
        <f>IFERROR(Calculations!P15, "")</f>
        <v>47.61904761904762</v>
      </c>
      <c r="O18" s="55"/>
      <c r="P18" s="55"/>
    </row>
    <row r="19" spans="1:16" ht="15" customHeight="1">
      <c r="A19" s="55"/>
      <c r="B19" s="69" t="s">
        <v>12</v>
      </c>
      <c r="C19" s="71">
        <v>1.5</v>
      </c>
      <c r="D19" s="67"/>
      <c r="E19" s="67"/>
      <c r="F19" s="67"/>
      <c r="G19" s="15"/>
      <c r="H19" s="67"/>
      <c r="I19" s="69" t="s">
        <v>12</v>
      </c>
      <c r="J19" s="75">
        <f>IFERROR(Calculations!E16*10^6, "")</f>
        <v>250</v>
      </c>
      <c r="K19" s="72">
        <f>IFERROR(J19*'Amino acid sequence'!$G$8*10^(-6), "")</f>
        <v>7.2541749999999992</v>
      </c>
      <c r="L19" s="55"/>
      <c r="M19" s="11" t="s">
        <v>12</v>
      </c>
      <c r="N19" s="73">
        <f>IFERROR(Calculations!P16, "")</f>
        <v>166.66666666666669</v>
      </c>
      <c r="O19" s="55"/>
      <c r="P19" s="55"/>
    </row>
    <row r="20" spans="1:16" ht="15" customHeight="1">
      <c r="A20" s="55"/>
      <c r="B20" s="69" t="s">
        <v>13</v>
      </c>
      <c r="C20" s="71">
        <v>1.5</v>
      </c>
      <c r="D20" s="67"/>
      <c r="E20" s="67"/>
      <c r="F20" s="67"/>
      <c r="G20" s="15"/>
      <c r="H20" s="67"/>
      <c r="I20" s="69" t="s">
        <v>13</v>
      </c>
      <c r="J20" s="75">
        <f>IFERROR(Calculations!E17*10^6, "")</f>
        <v>125</v>
      </c>
      <c r="K20" s="72">
        <f>IFERROR(J20*'Amino acid sequence'!$G$8*10^(-6), "")</f>
        <v>3.6270874999999996</v>
      </c>
      <c r="L20" s="55"/>
      <c r="M20" s="11" t="s">
        <v>13</v>
      </c>
      <c r="N20" s="73">
        <f>IFERROR(Calculations!P17, "")</f>
        <v>83.333333333333343</v>
      </c>
      <c r="O20" s="55"/>
      <c r="P20" s="55"/>
    </row>
    <row r="21" spans="1:16" ht="15" customHeight="1">
      <c r="A21" s="55"/>
      <c r="B21" s="69" t="s">
        <v>14</v>
      </c>
      <c r="C21" s="71">
        <v>1.5</v>
      </c>
      <c r="D21" s="67"/>
      <c r="E21" s="67"/>
      <c r="F21" s="67"/>
      <c r="G21" s="15"/>
      <c r="H21" s="67"/>
      <c r="I21" s="69" t="s">
        <v>14</v>
      </c>
      <c r="J21" s="75">
        <f>IFERROR(Calculations!E18*10^6, "")</f>
        <v>136.36363636363637</v>
      </c>
      <c r="K21" s="72">
        <f>IFERROR(J21*'Amino acid sequence'!$G$8*10^(-6), "")</f>
        <v>3.9568227272727268</v>
      </c>
      <c r="L21" s="55"/>
      <c r="M21" s="11" t="s">
        <v>14</v>
      </c>
      <c r="N21" s="73">
        <f>IFERROR(Calculations!P18, "")</f>
        <v>90.909090909090921</v>
      </c>
      <c r="O21" s="55"/>
      <c r="P21" s="55"/>
    </row>
    <row r="22" spans="1:16" ht="15" customHeight="1">
      <c r="A22" s="55"/>
      <c r="B22" s="69" t="s">
        <v>15</v>
      </c>
      <c r="C22" s="71">
        <v>1.5</v>
      </c>
      <c r="D22" s="67"/>
      <c r="E22" s="67"/>
      <c r="F22" s="67"/>
      <c r="G22" s="15"/>
      <c r="H22" s="67"/>
      <c r="I22" s="69" t="s">
        <v>15</v>
      </c>
      <c r="J22" s="75">
        <f>IFERROR(Calculations!E19*10^6, "")</f>
        <v>100</v>
      </c>
      <c r="K22" s="72">
        <f>IFERROR(J22*'Amino acid sequence'!$G$8*10^(-6), "")</f>
        <v>2.9016699999999993</v>
      </c>
      <c r="L22" s="55"/>
      <c r="M22" s="11" t="s">
        <v>15</v>
      </c>
      <c r="N22" s="73">
        <f>IFERROR(Calculations!P19, "")</f>
        <v>66.666666666666671</v>
      </c>
      <c r="O22" s="55"/>
      <c r="P22" s="55"/>
    </row>
    <row r="23" spans="1:16" ht="15" customHeight="1">
      <c r="A23" s="55"/>
      <c r="B23" s="69" t="s">
        <v>16</v>
      </c>
      <c r="C23" s="71">
        <v>1.5</v>
      </c>
      <c r="D23" s="67"/>
      <c r="E23" s="67"/>
      <c r="F23" s="67"/>
      <c r="G23" s="15"/>
      <c r="H23" s="67"/>
      <c r="I23" s="69" t="s">
        <v>16</v>
      </c>
      <c r="J23" s="75">
        <f>IFERROR(Calculations!E20*10^6, "")</f>
        <v>83.333333333333329</v>
      </c>
      <c r="K23" s="72">
        <f>IFERROR(J23*'Amino acid sequence'!$G$8*10^(-6), "")</f>
        <v>2.4180583333333328</v>
      </c>
      <c r="L23" s="55"/>
      <c r="M23" s="11" t="s">
        <v>16</v>
      </c>
      <c r="N23" s="73">
        <f>IFERROR(Calculations!P20, "")</f>
        <v>55.555555555555557</v>
      </c>
      <c r="O23" s="55"/>
      <c r="P23" s="55"/>
    </row>
    <row r="24" spans="1:16" ht="15" customHeight="1">
      <c r="A24" s="55"/>
      <c r="B24" s="69" t="s">
        <v>17</v>
      </c>
      <c r="C24" s="71">
        <v>1.5</v>
      </c>
      <c r="D24" s="67"/>
      <c r="E24" s="55"/>
      <c r="F24" s="67"/>
      <c r="G24" s="15"/>
      <c r="H24" s="67"/>
      <c r="I24" s="69" t="s">
        <v>17</v>
      </c>
      <c r="J24" s="75">
        <f>IFERROR(Calculations!E21*10^6, "")</f>
        <v>1500</v>
      </c>
      <c r="K24" s="72">
        <f>IFERROR(J24*'Amino acid sequence'!$G$8*10^(-6), "")</f>
        <v>43.525049999999993</v>
      </c>
      <c r="L24" s="55"/>
      <c r="M24" s="11" t="s">
        <v>17</v>
      </c>
      <c r="N24" s="73">
        <f>IFERROR(Calculations!P21, "")</f>
        <v>1000</v>
      </c>
      <c r="O24" s="55"/>
      <c r="P24" s="55"/>
    </row>
    <row r="25" spans="1:16" ht="15" customHeight="1">
      <c r="A25" s="55"/>
      <c r="B25" s="69" t="s">
        <v>18</v>
      </c>
      <c r="C25" s="71">
        <v>1.5</v>
      </c>
      <c r="D25" s="67"/>
      <c r="E25" s="66"/>
      <c r="F25" s="67"/>
      <c r="G25" s="15"/>
      <c r="H25" s="67"/>
      <c r="I25" s="69" t="s">
        <v>18</v>
      </c>
      <c r="J25" s="75">
        <f>IFERROR(Calculations!E22*10^6, "")</f>
        <v>166.66666666666666</v>
      </c>
      <c r="K25" s="72">
        <f>IFERROR(J25*'Amino acid sequence'!$G$8*10^(-6), "")</f>
        <v>4.8361166666666655</v>
      </c>
      <c r="L25" s="55"/>
      <c r="M25" s="11" t="s">
        <v>18</v>
      </c>
      <c r="N25" s="73">
        <f>IFERROR(Calculations!P22, "")</f>
        <v>111.11111111111111</v>
      </c>
      <c r="O25" s="55"/>
      <c r="P25" s="55"/>
    </row>
    <row r="26" spans="1:16" ht="15" customHeight="1" thickBot="1">
      <c r="A26" s="55"/>
      <c r="B26" s="69" t="s">
        <v>19</v>
      </c>
      <c r="C26" s="71">
        <v>1.5</v>
      </c>
      <c r="D26" s="67"/>
      <c r="E26" s="55"/>
      <c r="F26" s="67"/>
      <c r="G26" s="15"/>
      <c r="H26" s="67"/>
      <c r="I26" s="81" t="s">
        <v>19</v>
      </c>
      <c r="J26" s="75">
        <f>IFERROR(Calculations!E23*10^6, "")</f>
        <v>78.94736842105263</v>
      </c>
      <c r="K26" s="72">
        <f>IFERROR(J26*'Amino acid sequence'!$G$8*10^(-6), "")</f>
        <v>2.2907921052631575</v>
      </c>
      <c r="L26" s="55"/>
      <c r="M26" s="13" t="s">
        <v>19</v>
      </c>
      <c r="N26" s="73">
        <f>IFERROR(Calculations!P23, "")</f>
        <v>52.631578947368425</v>
      </c>
      <c r="O26" s="55"/>
      <c r="P26" s="55"/>
    </row>
    <row r="27" spans="1:16" ht="15" customHeight="1" thickBot="1">
      <c r="A27" s="55"/>
      <c r="B27" s="55"/>
      <c r="C27" s="68"/>
      <c r="D27" s="55"/>
      <c r="E27" s="55"/>
      <c r="F27" s="55"/>
      <c r="H27" s="55"/>
      <c r="I27" s="82" t="s">
        <v>80</v>
      </c>
      <c r="J27" s="83">
        <f>MIN(J7:J26)</f>
        <v>56.81818181818182</v>
      </c>
      <c r="K27" s="84">
        <f>MIN(K7:K26)</f>
        <v>1.6486761363636362</v>
      </c>
      <c r="L27" s="55"/>
      <c r="M27" s="55"/>
      <c r="N27" s="55"/>
      <c r="O27" s="55"/>
      <c r="P27" s="55"/>
    </row>
    <row r="28" spans="1:16" ht="18" customHeight="1">
      <c r="A28" s="55"/>
      <c r="B28" s="55"/>
      <c r="C28" s="55"/>
      <c r="D28" s="66"/>
      <c r="E28" s="55"/>
      <c r="F28" s="66"/>
      <c r="G28" s="9"/>
      <c r="H28" s="66"/>
      <c r="I28" s="55"/>
      <c r="J28" s="55"/>
      <c r="K28" s="55"/>
      <c r="L28" s="55"/>
      <c r="M28" s="55"/>
      <c r="N28" s="55"/>
      <c r="O28" s="55"/>
      <c r="P28" s="55"/>
    </row>
    <row r="29" spans="1:16" ht="18" customHeight="1">
      <c r="A29" s="7"/>
    </row>
    <row r="30" spans="1:16" ht="18" customHeight="1"/>
    <row r="31" spans="1:16" ht="15" customHeight="1"/>
    <row r="32" spans="1:16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8" customHeight="1"/>
    <row r="54" ht="18" customHeight="1"/>
    <row r="55" ht="18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mergeCells count="7">
    <mergeCell ref="E9:E11"/>
    <mergeCell ref="H4:P4"/>
    <mergeCell ref="J6:K6"/>
    <mergeCell ref="I5:K5"/>
    <mergeCell ref="M5:N5"/>
    <mergeCell ref="A4:F4"/>
    <mergeCell ref="B5:C5"/>
  </mergeCells>
  <conditionalFormatting sqref="J7:J26">
    <cfRule type="cellIs" dxfId="4" priority="3" operator="equal">
      <formula>$J$27</formula>
    </cfRule>
  </conditionalFormatting>
  <conditionalFormatting sqref="K7:K26">
    <cfRule type="cellIs" dxfId="3" priority="1" operator="equal">
      <formula>$K$27</formula>
    </cfRule>
  </conditionalFormatting>
  <pageMargins left="0.70866141732283472" right="0.70866141732283472" top="0.78740157480314965" bottom="0.78740157480314965" header="0.31496062992125984" footer="0.31496062992125984"/>
  <pageSetup paperSize="9" fitToWidth="0" fitToHeight="0" orientation="portrait" r:id="rId1"/>
  <headerFooter>
    <oddFooter>&amp;C&amp;1#&amp;"Arial"&amp;10&amp;K000000Internal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P27"/>
  <sheetViews>
    <sheetView workbookViewId="0">
      <selection activeCell="D7" sqref="D7"/>
    </sheetView>
  </sheetViews>
  <sheetFormatPr baseColWidth="10" defaultColWidth="11.453125" defaultRowHeight="14.5"/>
  <cols>
    <col min="1" max="1" width="13" bestFit="1" customWidth="1"/>
    <col min="2" max="2" width="15.81640625" customWidth="1"/>
    <col min="3" max="3" width="8.54296875" bestFit="1" customWidth="1"/>
    <col min="4" max="4" width="26.1796875" bestFit="1" customWidth="1"/>
    <col min="5" max="5" width="8.54296875" bestFit="1" customWidth="1"/>
    <col min="8" max="8" width="19" bestFit="1" customWidth="1"/>
    <col min="9" max="9" width="15.453125" customWidth="1"/>
    <col min="10" max="10" width="19" bestFit="1" customWidth="1"/>
    <col min="11" max="11" width="22.453125" customWidth="1"/>
    <col min="12" max="12" width="10.1796875" bestFit="1" customWidth="1"/>
    <col min="13" max="13" width="13.54296875" bestFit="1" customWidth="1"/>
    <col min="15" max="15" width="13.1796875" bestFit="1" customWidth="1"/>
    <col min="16" max="16" width="12.26953125" customWidth="1"/>
  </cols>
  <sheetData>
    <row r="1" spans="1:16">
      <c r="A1" s="118" t="s">
        <v>28</v>
      </c>
      <c r="B1" s="119"/>
      <c r="C1" s="119"/>
      <c r="D1" s="119"/>
      <c r="E1" s="120"/>
      <c r="G1" s="118" t="s">
        <v>27</v>
      </c>
      <c r="H1" s="127"/>
      <c r="I1" s="127"/>
      <c r="J1" s="127"/>
      <c r="K1" s="128"/>
    </row>
    <row r="2" spans="1:16">
      <c r="A2" s="18"/>
      <c r="B2" s="121" t="s">
        <v>24</v>
      </c>
      <c r="C2" s="122"/>
      <c r="D2" s="121" t="s">
        <v>21</v>
      </c>
      <c r="E2" s="122"/>
      <c r="G2" s="19"/>
      <c r="H2" s="123" t="s">
        <v>25</v>
      </c>
      <c r="I2" s="124"/>
      <c r="J2" s="125" t="s">
        <v>26</v>
      </c>
      <c r="K2" s="126"/>
      <c r="M2" s="19"/>
      <c r="N2" s="116" t="s">
        <v>25</v>
      </c>
      <c r="O2" s="117"/>
      <c r="P2" s="117"/>
    </row>
    <row r="3" spans="1:16" ht="16.5">
      <c r="A3" s="20" t="s">
        <v>20</v>
      </c>
      <c r="B3" s="35"/>
      <c r="C3" s="36" t="s">
        <v>29</v>
      </c>
      <c r="D3" s="36"/>
      <c r="E3" s="36" t="s">
        <v>29</v>
      </c>
      <c r="G3" s="20" t="s">
        <v>20</v>
      </c>
      <c r="H3" s="35"/>
      <c r="I3" s="36" t="s">
        <v>29</v>
      </c>
      <c r="J3" s="35"/>
      <c r="K3" s="36" t="s">
        <v>29</v>
      </c>
      <c r="M3" s="20" t="s">
        <v>20</v>
      </c>
      <c r="N3" s="35"/>
      <c r="O3" s="78" t="s">
        <v>29</v>
      </c>
      <c r="P3" s="76" t="s">
        <v>76</v>
      </c>
    </row>
    <row r="4" spans="1:16">
      <c r="A4" s="29" t="s">
        <v>0</v>
      </c>
      <c r="B4" s="38"/>
      <c r="C4" s="5">
        <f>'Protein concentration'!C7*10^(-3)</f>
        <v>1.5E-3</v>
      </c>
      <c r="D4" s="2"/>
      <c r="E4" s="25">
        <f>C4/'Amino acid sequence'!E8</f>
        <v>1.875E-4</v>
      </c>
      <c r="G4" s="29" t="s">
        <v>0</v>
      </c>
      <c r="H4" s="38"/>
      <c r="I4" s="22">
        <f>('Protein concentration'!$J$27/'Protein concentration'!J7)*Calculations!C4</f>
        <v>4.5454545454545455E-4</v>
      </c>
      <c r="J4" s="38"/>
      <c r="K4" s="42">
        <f>Calculations!C4-I4</f>
        <v>1.0454545454545456E-3</v>
      </c>
      <c r="M4" s="29" t="s">
        <v>0</v>
      </c>
      <c r="N4" s="38"/>
      <c r="O4" s="42">
        <f>('Protein concentration'!$E$7/'Protein concentration'!J7)*Calculations!C4</f>
        <v>5.1887999999999999E-4</v>
      </c>
      <c r="P4" s="79">
        <f>'Protein concentration'!$E$7*10^(-3)/Calculations!O4</f>
        <v>125</v>
      </c>
    </row>
    <row r="5" spans="1:16">
      <c r="A5" s="30" t="s">
        <v>1</v>
      </c>
      <c r="B5" s="39"/>
      <c r="C5" s="5">
        <f>'Protein concentration'!C8*10^(-3)</f>
        <v>1.5E-3</v>
      </c>
      <c r="D5" s="2"/>
      <c r="E5" s="25">
        <f>C5/'Amino acid sequence'!E9</f>
        <v>1.875E-4</v>
      </c>
      <c r="G5" s="30" t="s">
        <v>1</v>
      </c>
      <c r="H5" s="39"/>
      <c r="I5" s="22">
        <f>('Protein concentration'!$J$27/'Protein concentration'!J8)*Calculations!C5</f>
        <v>4.5454545454545455E-4</v>
      </c>
      <c r="J5" s="39"/>
      <c r="K5" s="43">
        <f>Calculations!C5-I5</f>
        <v>1.0454545454545456E-3</v>
      </c>
      <c r="M5" s="30" t="s">
        <v>1</v>
      </c>
      <c r="N5" s="39"/>
      <c r="O5" s="43">
        <f>('Protein concentration'!$E$7/'Protein concentration'!J8)*Calculations!C5</f>
        <v>5.1887999999999999E-4</v>
      </c>
      <c r="P5" s="79">
        <f>'Protein concentration'!$E$7*10^(-3)/Calculations!O5</f>
        <v>125</v>
      </c>
    </row>
    <row r="6" spans="1:16">
      <c r="A6" s="30" t="s">
        <v>2</v>
      </c>
      <c r="B6" s="39"/>
      <c r="C6" s="5">
        <f>'Protein concentration'!C9*10^(-3)</f>
        <v>1.5E-3</v>
      </c>
      <c r="D6" s="2"/>
      <c r="E6" s="25">
        <f>C6/'Amino acid sequence'!E10</f>
        <v>1.1538461538461538E-4</v>
      </c>
      <c r="G6" s="30" t="s">
        <v>2</v>
      </c>
      <c r="H6" s="39"/>
      <c r="I6" s="22">
        <f>('Protein concentration'!$J$27/'Protein concentration'!J9)*Calculations!C6</f>
        <v>7.3863636363636362E-4</v>
      </c>
      <c r="J6" s="39"/>
      <c r="K6" s="43">
        <f>Calculations!C6-I6</f>
        <v>7.6136363636363641E-4</v>
      </c>
      <c r="M6" s="30" t="s">
        <v>2</v>
      </c>
      <c r="N6" s="39"/>
      <c r="O6" s="43">
        <f>('Protein concentration'!$E$7/'Protein concentration'!J9)*Calculations!C6</f>
        <v>8.4317999999999991E-4</v>
      </c>
      <c r="P6" s="79">
        <f>'Protein concentration'!$E$7*10^(-3)/Calculations!O6</f>
        <v>76.923076923076934</v>
      </c>
    </row>
    <row r="7" spans="1:16">
      <c r="A7" s="31" t="s">
        <v>3</v>
      </c>
      <c r="B7" s="39"/>
      <c r="C7" s="5">
        <f>'Protein concentration'!C10*10^(-3)</f>
        <v>1.5E-3</v>
      </c>
      <c r="D7" s="2"/>
      <c r="E7" s="25">
        <f>C7/'Amino acid sequence'!E11</f>
        <v>8.3333333333333331E-5</v>
      </c>
      <c r="G7" s="31" t="s">
        <v>3</v>
      </c>
      <c r="H7" s="39"/>
      <c r="I7" s="22">
        <f>('Protein concentration'!$J$27/'Protein concentration'!J10)*Calculations!C7</f>
        <v>1.0227272727272728E-3</v>
      </c>
      <c r="J7" s="39"/>
      <c r="K7" s="43">
        <f>Calculations!C7-I7</f>
        <v>4.7727272727272722E-4</v>
      </c>
      <c r="M7" s="31" t="s">
        <v>3</v>
      </c>
      <c r="N7" s="39"/>
      <c r="O7" s="43">
        <f>('Protein concentration'!$E$7/'Protein concentration'!J10)*Calculations!C7</f>
        <v>1.16748E-3</v>
      </c>
      <c r="P7" s="79">
        <f>'Protein concentration'!$E$7*10^(-3)/Calculations!O7</f>
        <v>55.555555555555557</v>
      </c>
    </row>
    <row r="8" spans="1:16">
      <c r="A8" s="30" t="s">
        <v>4</v>
      </c>
      <c r="B8" s="39"/>
      <c r="C8" s="5">
        <f>'Protein concentration'!C11*10^(-3)</f>
        <v>1.5E-3</v>
      </c>
      <c r="D8" s="2"/>
      <c r="E8" s="25">
        <f>C8/'Amino acid sequence'!E12</f>
        <v>7.5000000000000002E-4</v>
      </c>
      <c r="G8" s="30" t="s">
        <v>4</v>
      </c>
      <c r="H8" s="39"/>
      <c r="I8" s="22">
        <f>('Protein concentration'!$J$27/'Protein concentration'!J11)*Calculations!C8</f>
        <v>1.1363636363636364E-4</v>
      </c>
      <c r="J8" s="39"/>
      <c r="K8" s="43">
        <f>Calculations!C8-I8</f>
        <v>1.3863636363636363E-3</v>
      </c>
      <c r="M8" s="30" t="s">
        <v>4</v>
      </c>
      <c r="N8" s="39"/>
      <c r="O8" s="43">
        <f>('Protein concentration'!$E$7/'Protein concentration'!J11)*Calculations!C8</f>
        <v>1.2972E-4</v>
      </c>
      <c r="P8" s="79">
        <f>'Protein concentration'!$E$7*10^(-3)/Calculations!O8</f>
        <v>500</v>
      </c>
    </row>
    <row r="9" spans="1:16">
      <c r="A9" s="30" t="s">
        <v>5</v>
      </c>
      <c r="B9" s="39"/>
      <c r="C9" s="5">
        <f>'Protein concentration'!C12*10^(-3)</f>
        <v>1.5E-3</v>
      </c>
      <c r="D9" s="2"/>
      <c r="E9" s="25">
        <f>C9/'Amino acid sequence'!E13</f>
        <v>9.3750000000000002E-5</v>
      </c>
      <c r="G9" s="30" t="s">
        <v>5</v>
      </c>
      <c r="H9" s="39"/>
      <c r="I9" s="22">
        <f>('Protein concentration'!$J$27/'Protein concentration'!J12)*Calculations!C9</f>
        <v>9.0909090909090909E-4</v>
      </c>
      <c r="J9" s="39"/>
      <c r="K9" s="43">
        <f>Calculations!C9-I9</f>
        <v>5.9090909090909094E-4</v>
      </c>
      <c r="M9" s="30" t="s">
        <v>5</v>
      </c>
      <c r="N9" s="39"/>
      <c r="O9" s="43">
        <f>('Protein concentration'!$E$7/'Protein concentration'!J12)*Calculations!C9</f>
        <v>1.03776E-3</v>
      </c>
      <c r="P9" s="79">
        <f>'Protein concentration'!$E$7*10^(-3)/Calculations!O9</f>
        <v>62.5</v>
      </c>
    </row>
    <row r="10" spans="1:16">
      <c r="A10" s="30" t="s">
        <v>6</v>
      </c>
      <c r="B10" s="39"/>
      <c r="C10" s="5">
        <f>'Protein concentration'!C13*10^(-3)</f>
        <v>1.5E-3</v>
      </c>
      <c r="D10" s="1"/>
      <c r="E10" s="25">
        <f>C10/'Amino acid sequence'!E14</f>
        <v>1.875E-4</v>
      </c>
      <c r="G10" s="30" t="s">
        <v>6</v>
      </c>
      <c r="H10" s="39"/>
      <c r="I10" s="22">
        <f>('Protein concentration'!$J$27/'Protein concentration'!J13)*Calculations!C10</f>
        <v>4.5454545454545455E-4</v>
      </c>
      <c r="J10" s="39"/>
      <c r="K10" s="43">
        <f>Calculations!C10-I10</f>
        <v>1.0454545454545456E-3</v>
      </c>
      <c r="M10" s="30" t="s">
        <v>6</v>
      </c>
      <c r="N10" s="39"/>
      <c r="O10" s="43">
        <f>('Protein concentration'!$E$7/'Protein concentration'!J13)*Calculations!C10</f>
        <v>5.1887999999999999E-4</v>
      </c>
      <c r="P10" s="79">
        <f>'Protein concentration'!$E$7*10^(-3)/Calculations!O10</f>
        <v>125</v>
      </c>
    </row>
    <row r="11" spans="1:16">
      <c r="A11" s="30" t="s">
        <v>7</v>
      </c>
      <c r="B11" s="39"/>
      <c r="C11" s="5">
        <f>'Protein concentration'!C14*10^(-3)</f>
        <v>1.5E-3</v>
      </c>
      <c r="D11" s="2"/>
      <c r="E11" s="25">
        <f>C11/'Amino acid sequence'!E15</f>
        <v>6.0000000000000002E-5</v>
      </c>
      <c r="G11" s="30" t="s">
        <v>7</v>
      </c>
      <c r="H11" s="39"/>
      <c r="I11" s="22">
        <f>('Protein concentration'!$J$27/'Protein concentration'!J14)*Calculations!C11</f>
        <v>1.4204545454545455E-3</v>
      </c>
      <c r="J11" s="39"/>
      <c r="K11" s="43">
        <f>Calculations!C11-I11</f>
        <v>7.9545454545454537E-5</v>
      </c>
      <c r="M11" s="30" t="s">
        <v>7</v>
      </c>
      <c r="N11" s="39"/>
      <c r="O11" s="43">
        <f>('Protein concentration'!$E$7/'Protein concentration'!J14)*Calculations!C11</f>
        <v>1.6214999999999999E-3</v>
      </c>
      <c r="P11" s="79">
        <f>'Protein concentration'!$E$7*10^(-3)/Calculations!O11</f>
        <v>40</v>
      </c>
    </row>
    <row r="12" spans="1:16">
      <c r="A12" s="30" t="s">
        <v>8</v>
      </c>
      <c r="B12" s="39"/>
      <c r="C12" s="5">
        <f>'Protein concentration'!C15*10^(-3)</f>
        <v>1.5E-3</v>
      </c>
      <c r="D12" s="2"/>
      <c r="E12" s="25">
        <f>C12/'Amino acid sequence'!E16</f>
        <v>9.3750000000000002E-5</v>
      </c>
      <c r="G12" s="30" t="s">
        <v>8</v>
      </c>
      <c r="H12" s="39"/>
      <c r="I12" s="22">
        <f>('Protein concentration'!$J$27/'Protein concentration'!J15)*Calculations!C12</f>
        <v>9.0909090909090909E-4</v>
      </c>
      <c r="J12" s="39"/>
      <c r="K12" s="43">
        <f>Calculations!C12-I12</f>
        <v>5.9090909090909094E-4</v>
      </c>
      <c r="M12" s="30" t="s">
        <v>8</v>
      </c>
      <c r="N12" s="39"/>
      <c r="O12" s="43">
        <f>('Protein concentration'!$E$7/'Protein concentration'!J15)*Calculations!C12</f>
        <v>1.03776E-3</v>
      </c>
      <c r="P12" s="79">
        <f>'Protein concentration'!$E$7*10^(-3)/Calculations!O12</f>
        <v>62.5</v>
      </c>
    </row>
    <row r="13" spans="1:16">
      <c r="A13" s="30" t="s">
        <v>9</v>
      </c>
      <c r="B13" s="39"/>
      <c r="C13" s="5">
        <f>'Protein concentration'!C16*10^(-3)</f>
        <v>1.5E-3</v>
      </c>
      <c r="D13" s="2"/>
      <c r="E13" s="25">
        <f>C13/'Amino acid sequence'!E17</f>
        <v>1.3636363636363637E-4</v>
      </c>
      <c r="G13" s="30" t="s">
        <v>9</v>
      </c>
      <c r="H13" s="39"/>
      <c r="I13" s="22">
        <f>('Protein concentration'!$J$27/'Protein concentration'!J16)*Calculations!C13</f>
        <v>6.249999999999999E-4</v>
      </c>
      <c r="J13" s="39"/>
      <c r="K13" s="43">
        <f>Calculations!C13-I13</f>
        <v>8.7500000000000013E-4</v>
      </c>
      <c r="M13" s="30" t="s">
        <v>9</v>
      </c>
      <c r="N13" s="39"/>
      <c r="O13" s="43">
        <f>('Protein concentration'!$E$7/'Protein concentration'!J16)*Calculations!C13</f>
        <v>7.1345999999999996E-4</v>
      </c>
      <c r="P13" s="79">
        <f>'Protein concentration'!$E$7*10^(-3)/Calculations!O13</f>
        <v>90.909090909090921</v>
      </c>
    </row>
    <row r="14" spans="1:16">
      <c r="A14" s="32" t="s">
        <v>10</v>
      </c>
      <c r="B14" s="39"/>
      <c r="C14" s="37">
        <f>'Protein concentration'!C17*10^(-3)</f>
        <v>1.25E-3</v>
      </c>
      <c r="D14" s="17"/>
      <c r="E14" s="26">
        <f>C14/'Amino acid sequence'!E18</f>
        <v>5.6818181818181818E-5</v>
      </c>
      <c r="G14" s="30" t="s">
        <v>10</v>
      </c>
      <c r="H14" s="39"/>
      <c r="I14" s="22">
        <f>('Protein concentration'!$J$27/'Protein concentration'!J17)*Calculations!C14</f>
        <v>1.25E-3</v>
      </c>
      <c r="J14" s="39"/>
      <c r="K14" s="43">
        <f>Calculations!C14-I14</f>
        <v>0</v>
      </c>
      <c r="M14" s="30" t="s">
        <v>10</v>
      </c>
      <c r="N14" s="39"/>
      <c r="O14" s="43">
        <f>('Protein concentration'!$E$7/'Protein concentration'!J17)*Calculations!C14</f>
        <v>1.4269199999999999E-3</v>
      </c>
      <c r="P14" s="79">
        <f>'Protein concentration'!$E$7*10^(-3)/Calculations!O14</f>
        <v>45.45454545454546</v>
      </c>
    </row>
    <row r="15" spans="1:16">
      <c r="A15" s="30" t="s">
        <v>11</v>
      </c>
      <c r="B15" s="39"/>
      <c r="C15" s="5">
        <f>'Protein concentration'!C18*10^(-3)</f>
        <v>1.5E-3</v>
      </c>
      <c r="D15" s="2"/>
      <c r="E15" s="25">
        <f>C15/'Amino acid sequence'!E19</f>
        <v>7.1428571428571434E-5</v>
      </c>
      <c r="G15" s="30" t="s">
        <v>11</v>
      </c>
      <c r="H15" s="39"/>
      <c r="I15" s="22">
        <f>('Protein concentration'!$J$27/'Protein concentration'!J18)*Calculations!C15</f>
        <v>1.1931818181818181E-3</v>
      </c>
      <c r="J15" s="39"/>
      <c r="K15" s="43">
        <f>Calculations!C15-I15</f>
        <v>3.0681818181818197E-4</v>
      </c>
      <c r="M15" s="30" t="s">
        <v>11</v>
      </c>
      <c r="N15" s="39"/>
      <c r="O15" s="43">
        <f>('Protein concentration'!$E$7/'Protein concentration'!J18)*Calculations!C15</f>
        <v>1.36206E-3</v>
      </c>
      <c r="P15" s="79">
        <f>'Protein concentration'!$E$7*10^(-3)/Calculations!O15</f>
        <v>47.61904761904762</v>
      </c>
    </row>
    <row r="16" spans="1:16">
      <c r="A16" s="30" t="s">
        <v>12</v>
      </c>
      <c r="B16" s="39"/>
      <c r="C16" s="5">
        <f>'Protein concentration'!C19*10^(-3)</f>
        <v>1.5E-3</v>
      </c>
      <c r="D16" s="2"/>
      <c r="E16" s="25">
        <f>C16/'Amino acid sequence'!E20</f>
        <v>2.5000000000000001E-4</v>
      </c>
      <c r="G16" s="30" t="s">
        <v>12</v>
      </c>
      <c r="H16" s="39"/>
      <c r="I16" s="22">
        <f>('Protein concentration'!$J$27/'Protein concentration'!J19)*Calculations!C16</f>
        <v>3.4090909090909094E-4</v>
      </c>
      <c r="J16" s="39"/>
      <c r="K16" s="43">
        <f>Calculations!C16-I16</f>
        <v>1.1590909090909091E-3</v>
      </c>
      <c r="M16" s="30" t="s">
        <v>12</v>
      </c>
      <c r="N16" s="39"/>
      <c r="O16" s="43">
        <f>('Protein concentration'!$E$7/'Protein concentration'!J19)*Calculations!C16</f>
        <v>3.8915999999999999E-4</v>
      </c>
      <c r="P16" s="79">
        <f>'Protein concentration'!$E$7*10^(-3)/Calculations!O16</f>
        <v>166.66666666666669</v>
      </c>
    </row>
    <row r="17" spans="1:16">
      <c r="A17" s="30" t="s">
        <v>13</v>
      </c>
      <c r="B17" s="39"/>
      <c r="C17" s="5">
        <f>'Protein concentration'!C20*10^(-3)</f>
        <v>1.5E-3</v>
      </c>
      <c r="D17" s="2"/>
      <c r="E17" s="25">
        <f>C17/'Amino acid sequence'!E21</f>
        <v>1.25E-4</v>
      </c>
      <c r="G17" s="30" t="s">
        <v>13</v>
      </c>
      <c r="H17" s="39"/>
      <c r="I17" s="22">
        <f>('Protein concentration'!$J$27/'Protein concentration'!J20)*Calculations!C17</f>
        <v>6.8181818181818187E-4</v>
      </c>
      <c r="J17" s="39"/>
      <c r="K17" s="43">
        <f>Calculations!C17-I17</f>
        <v>8.1818181818181816E-4</v>
      </c>
      <c r="M17" s="30" t="s">
        <v>13</v>
      </c>
      <c r="N17" s="39"/>
      <c r="O17" s="43">
        <f>('Protein concentration'!$E$7/'Protein concentration'!J20)*Calculations!C17</f>
        <v>7.7831999999999999E-4</v>
      </c>
      <c r="P17" s="79">
        <f>'Protein concentration'!$E$7*10^(-3)/Calculations!O17</f>
        <v>83.333333333333343</v>
      </c>
    </row>
    <row r="18" spans="1:16">
      <c r="A18" s="30" t="s">
        <v>14</v>
      </c>
      <c r="B18" s="39"/>
      <c r="C18" s="5">
        <f>'Protein concentration'!C21*10^(-3)</f>
        <v>1.5E-3</v>
      </c>
      <c r="D18" s="2"/>
      <c r="E18" s="25">
        <f>C18/'Amino acid sequence'!E22</f>
        <v>1.3636363636363637E-4</v>
      </c>
      <c r="G18" s="30" t="s">
        <v>14</v>
      </c>
      <c r="H18" s="39"/>
      <c r="I18" s="22">
        <f>('Protein concentration'!$J$27/'Protein concentration'!J21)*Calculations!C18</f>
        <v>6.249999999999999E-4</v>
      </c>
      <c r="J18" s="39"/>
      <c r="K18" s="43">
        <f>Calculations!C18-I18</f>
        <v>8.7500000000000013E-4</v>
      </c>
      <c r="M18" s="30" t="s">
        <v>14</v>
      </c>
      <c r="N18" s="39"/>
      <c r="O18" s="43">
        <f>('Protein concentration'!$E$7/'Protein concentration'!J21)*Calculations!C18</f>
        <v>7.1345999999999996E-4</v>
      </c>
      <c r="P18" s="79">
        <f>'Protein concentration'!$E$7*10^(-3)/Calculations!O18</f>
        <v>90.909090909090921</v>
      </c>
    </row>
    <row r="19" spans="1:16">
      <c r="A19" s="30" t="s">
        <v>15</v>
      </c>
      <c r="B19" s="39"/>
      <c r="C19" s="5">
        <f>'Protein concentration'!C22*10^(-3)</f>
        <v>1.5E-3</v>
      </c>
      <c r="D19" s="2"/>
      <c r="E19" s="25">
        <f>C19/'Amino acid sequence'!E23</f>
        <v>1E-4</v>
      </c>
      <c r="G19" s="30" t="s">
        <v>15</v>
      </c>
      <c r="H19" s="39"/>
      <c r="I19" s="22">
        <f>('Protein concentration'!$J$27/'Protein concentration'!J22)*Calculations!C19</f>
        <v>8.5227272727272734E-4</v>
      </c>
      <c r="J19" s="39"/>
      <c r="K19" s="43">
        <f>Calculations!C19-I19</f>
        <v>6.4772727272727269E-4</v>
      </c>
      <c r="M19" s="30" t="s">
        <v>15</v>
      </c>
      <c r="N19" s="39"/>
      <c r="O19" s="43">
        <f>('Protein concentration'!$E$7/'Protein concentration'!J22)*Calculations!C19</f>
        <v>9.7289999999999996E-4</v>
      </c>
      <c r="P19" s="79">
        <f>'Protein concentration'!$E$7*10^(-3)/Calculations!O19</f>
        <v>66.666666666666671</v>
      </c>
    </row>
    <row r="20" spans="1:16">
      <c r="A20" s="30" t="s">
        <v>16</v>
      </c>
      <c r="B20" s="39"/>
      <c r="C20" s="5">
        <f>'Protein concentration'!C23*10^(-3)</f>
        <v>1.5E-3</v>
      </c>
      <c r="D20" s="2"/>
      <c r="E20" s="25">
        <f>C20/'Amino acid sequence'!E24</f>
        <v>8.3333333333333331E-5</v>
      </c>
      <c r="G20" s="30" t="s">
        <v>16</v>
      </c>
      <c r="H20" s="39"/>
      <c r="I20" s="22">
        <f>('Protein concentration'!$J$27/'Protein concentration'!J23)*Calculations!C20</f>
        <v>1.0227272727272728E-3</v>
      </c>
      <c r="J20" s="39"/>
      <c r="K20" s="43">
        <f>Calculations!C20-I20</f>
        <v>4.7727272727272722E-4</v>
      </c>
      <c r="M20" s="30" t="s">
        <v>16</v>
      </c>
      <c r="N20" s="39"/>
      <c r="O20" s="43">
        <f>('Protein concentration'!$E$7/'Protein concentration'!J23)*Calculations!C20</f>
        <v>1.16748E-3</v>
      </c>
      <c r="P20" s="79">
        <f>'Protein concentration'!$E$7*10^(-3)/Calculations!O20</f>
        <v>55.555555555555557</v>
      </c>
    </row>
    <row r="21" spans="1:16">
      <c r="A21" s="30" t="s">
        <v>17</v>
      </c>
      <c r="B21" s="39"/>
      <c r="C21" s="5">
        <f>'Protein concentration'!C24*10^(-3)</f>
        <v>1.5E-3</v>
      </c>
      <c r="D21" s="2"/>
      <c r="E21" s="25">
        <f>C21/'Amino acid sequence'!E25</f>
        <v>1.5E-3</v>
      </c>
      <c r="G21" s="30" t="s">
        <v>17</v>
      </c>
      <c r="H21" s="39"/>
      <c r="I21" s="22">
        <f>('Protein concentration'!$J$27/'Protein concentration'!J24)*Calculations!C21</f>
        <v>5.6818181818181818E-5</v>
      </c>
      <c r="J21" s="39"/>
      <c r="K21" s="43">
        <f>Calculations!C21-I21</f>
        <v>1.4431818181818183E-3</v>
      </c>
      <c r="M21" s="30" t="s">
        <v>17</v>
      </c>
      <c r="N21" s="39"/>
      <c r="O21" s="43">
        <f>('Protein concentration'!$E$7/'Protein concentration'!J24)*Calculations!C21</f>
        <v>6.4859999999999999E-5</v>
      </c>
      <c r="P21" s="79">
        <f>'Protein concentration'!$E$7*10^(-3)/Calculations!O21</f>
        <v>1000</v>
      </c>
    </row>
    <row r="22" spans="1:16">
      <c r="A22" s="30" t="s">
        <v>18</v>
      </c>
      <c r="B22" s="39"/>
      <c r="C22" s="5">
        <f>'Protein concentration'!C25*10^(-3)</f>
        <v>1.5E-3</v>
      </c>
      <c r="D22" s="2"/>
      <c r="E22" s="25">
        <f>C22/'Amino acid sequence'!E26</f>
        <v>1.6666666666666666E-4</v>
      </c>
      <c r="G22" s="30" t="s">
        <v>18</v>
      </c>
      <c r="H22" s="39"/>
      <c r="I22" s="22">
        <f>('Protein concentration'!$J$27/'Protein concentration'!J25)*Calculations!C22</f>
        <v>5.113636363636364E-4</v>
      </c>
      <c r="J22" s="39"/>
      <c r="K22" s="43">
        <f>Calculations!C22-I22</f>
        <v>9.8863636363636363E-4</v>
      </c>
      <c r="M22" s="30" t="s">
        <v>18</v>
      </c>
      <c r="N22" s="39"/>
      <c r="O22" s="43">
        <f>('Protein concentration'!$E$7/'Protein concentration'!J25)*Calculations!C22</f>
        <v>5.8374000000000002E-4</v>
      </c>
      <c r="P22" s="79">
        <f>'Protein concentration'!$E$7*10^(-3)/Calculations!O22</f>
        <v>111.11111111111111</v>
      </c>
    </row>
    <row r="23" spans="1:16">
      <c r="A23" s="33" t="s">
        <v>19</v>
      </c>
      <c r="B23" s="39"/>
      <c r="C23" s="6">
        <f>'Protein concentration'!C26*10^(-3)</f>
        <v>1.5E-3</v>
      </c>
      <c r="D23" s="3"/>
      <c r="E23" s="27">
        <f>C23/'Amino acid sequence'!E27</f>
        <v>7.8947368421052633E-5</v>
      </c>
      <c r="G23" s="33" t="s">
        <v>19</v>
      </c>
      <c r="H23" s="40"/>
      <c r="I23" s="23">
        <f>('Protein concentration'!$J$27/'Protein concentration'!J26)*Calculations!C23</f>
        <v>1.0795454545454546E-3</v>
      </c>
      <c r="J23" s="40"/>
      <c r="K23" s="44">
        <f>Calculations!C23-I23</f>
        <v>4.2045454545454547E-4</v>
      </c>
      <c r="M23" s="33" t="s">
        <v>19</v>
      </c>
      <c r="N23" s="40"/>
      <c r="O23" s="44">
        <f>('Protein concentration'!$E$7/'Protein concentration'!J26)*Calculations!C23</f>
        <v>1.23234E-3</v>
      </c>
      <c r="P23" s="80">
        <f>'Protein concentration'!$E$7*10^(-3)/Calculations!O23</f>
        <v>52.631578947368425</v>
      </c>
    </row>
    <row r="24" spans="1:16">
      <c r="A24" s="34" t="s">
        <v>22</v>
      </c>
      <c r="B24" s="41"/>
      <c r="C24" s="24">
        <f>MIN(Calculations!C4:C23)</f>
        <v>1.25E-3</v>
      </c>
      <c r="D24" s="4"/>
      <c r="E24" s="28">
        <f>MIN(Calculations!E4:E23)</f>
        <v>5.6818181818181818E-5</v>
      </c>
    </row>
    <row r="27" spans="1:16">
      <c r="A27" s="8"/>
      <c r="D27" s="21"/>
    </row>
  </sheetData>
  <mergeCells count="7">
    <mergeCell ref="N2:P2"/>
    <mergeCell ref="A1:E1"/>
    <mergeCell ref="B2:C2"/>
    <mergeCell ref="D2:E2"/>
    <mergeCell ref="H2:I2"/>
    <mergeCell ref="J2:K2"/>
    <mergeCell ref="G1:K1"/>
  </mergeCells>
  <conditionalFormatting sqref="C4:C23">
    <cfRule type="cellIs" dxfId="2" priority="5" operator="equal">
      <formula>$C$24</formula>
    </cfRule>
  </conditionalFormatting>
  <conditionalFormatting sqref="D4:D23">
    <cfRule type="cellIs" dxfId="1" priority="3" operator="equal">
      <formula>$D$24</formula>
    </cfRule>
  </conditionalFormatting>
  <conditionalFormatting sqref="E4:E23">
    <cfRule type="cellIs" dxfId="0" priority="4" operator="equal">
      <formula>$E$24</formula>
    </cfRule>
  </conditionalFormatting>
  <pageMargins left="0.7" right="0.7" top="0.78740157499999996" bottom="0.78740157499999996" header="0.3" footer="0.3"/>
  <pageSetup paperSize="9" orientation="portrait" r:id="rId1"/>
  <headerFooter>
    <oddFooter>&amp;C&amp;1#&amp;"Arial"&amp;10&amp;K000000Internal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Amino acid sequence</vt:lpstr>
      <vt:lpstr>Protein concentration</vt:lpstr>
      <vt:lpstr>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</dc:creator>
  <cp:lastModifiedBy>Tabea</cp:lastModifiedBy>
  <dcterms:created xsi:type="dcterms:W3CDTF">2021-04-20T14:57:56Z</dcterms:created>
  <dcterms:modified xsi:type="dcterms:W3CDTF">2024-02-02T17:26:34Z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530cf4-8573-4c29-a912-bbcdac835909_Enabled">
    <vt:lpwstr>true</vt:lpwstr>
  </property>
  <property fmtid="{D5CDD505-2E9C-101B-9397-08002B2CF9AE}" pid="3" name="MSIP_Label_06530cf4-8573-4c29-a912-bbcdac835909_SetDate">
    <vt:lpwstr>2022-11-21T12:20:39Z</vt:lpwstr>
  </property>
  <property fmtid="{D5CDD505-2E9C-101B-9397-08002B2CF9AE}" pid="4" name="MSIP_Label_06530cf4-8573-4c29-a912-bbcdac835909_Method">
    <vt:lpwstr>Standard</vt:lpwstr>
  </property>
  <property fmtid="{D5CDD505-2E9C-101B-9397-08002B2CF9AE}" pid="5" name="MSIP_Label_06530cf4-8573-4c29-a912-bbcdac835909_Name">
    <vt:lpwstr>06530cf4-8573-4c29-a912-bbcdac835909</vt:lpwstr>
  </property>
  <property fmtid="{D5CDD505-2E9C-101B-9397-08002B2CF9AE}" pid="6" name="MSIP_Label_06530cf4-8573-4c29-a912-bbcdac835909_SiteId">
    <vt:lpwstr>ecaa386b-c8df-4ce0-ad01-740cbdb5ba55</vt:lpwstr>
  </property>
  <property fmtid="{D5CDD505-2E9C-101B-9397-08002B2CF9AE}" pid="7" name="MSIP_Label_06530cf4-8573-4c29-a912-bbcdac835909_ActionId">
    <vt:lpwstr>0d0ef7a6-e671-422c-8704-9cd7b474940e</vt:lpwstr>
  </property>
  <property fmtid="{D5CDD505-2E9C-101B-9397-08002B2CF9AE}" pid="8" name="MSIP_Label_06530cf4-8573-4c29-a912-bbcdac835909_ContentBits">
    <vt:lpwstr>2</vt:lpwstr>
  </property>
</Properties>
</file>